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45" windowHeight="4635" tabRatio="602" activeTab="0"/>
  </bookViews>
  <sheets>
    <sheet name="Plano" sheetId="1" r:id="rId1"/>
    <sheet name="Dívida" sheetId="2" r:id="rId2"/>
    <sheet name="Projeções" sheetId="3" r:id="rId3"/>
    <sheet name="Parâmetros" sheetId="4" r:id="rId4"/>
    <sheet name="Metas" sheetId="5" r:id="rId5"/>
    <sheet name="MetasRPPS" sheetId="6" r:id="rId6"/>
    <sheet name="Metas PREF " sheetId="7" r:id="rId7"/>
    <sheet name=" Avaliação" sheetId="8" r:id="rId8"/>
    <sheet name="Comparação" sheetId="9" r:id="rId9"/>
    <sheet name=" Patrimônio" sheetId="10" r:id="rId10"/>
    <sheet name=" Alienação" sheetId="11" r:id="rId11"/>
    <sheet name="RPPS-Financeiro" sheetId="12" r:id="rId12"/>
    <sheet name="RPPS-Atuarial" sheetId="13" r:id="rId13"/>
    <sheet name="Renúncia" sheetId="14" r:id="rId14"/>
    <sheet name="DOCC" sheetId="15" r:id="rId15"/>
    <sheet name="DOCC(alternativa)" sheetId="16" r:id="rId16"/>
    <sheet name="Anexo Riscos" sheetId="17" r:id="rId17"/>
    <sheet name="Anexo III - Metas e Prioridades" sheetId="18" r:id="rId18"/>
    <sheet name="Anexo IV - Consdo Patrimônio" sheetId="19" r:id="rId19"/>
    <sheet name="Plan1" sheetId="20" r:id="rId20"/>
  </sheets>
  <definedNames>
    <definedName name="_xlnm.Print_Area" localSheetId="3">'Parâmetros'!$A$7:$G$64</definedName>
    <definedName name="_xlnm.Print_Area" localSheetId="2">'Projeções'!$A$1:$AA$86</definedName>
    <definedName name="Z_16B3F100_CCE8_11D8_BD62_000C6E3CD3F1_.wvu.Cols" localSheetId="3" hidden="1">'Parâmetros'!$C:$C,'Parâmetros'!#REF!</definedName>
    <definedName name="Z_16B3F100_CCE8_11D8_BD62_000C6E3CD3F1_.wvu.Rows" localSheetId="1" hidden="1">'Dívida'!$20:$20,'Dívida'!#REF!</definedName>
    <definedName name="Z_16B3F100_CCE8_11D8_BD62_000C6E3CD3F1_.wvu.Rows" localSheetId="3" hidden="1">'Parâmetros'!$1:$6,'Parâmetros'!#REF!,'Parâmetros'!$12:$12</definedName>
  </definedNames>
  <calcPr fullCalcOnLoad="1"/>
</workbook>
</file>

<file path=xl/comments20.xml><?xml version="1.0" encoding="utf-8"?>
<comments xmlns="http://schemas.openxmlformats.org/spreadsheetml/2006/main">
  <authors>
    <author>Pc_adm02</author>
  </authors>
  <commentList>
    <comment ref="H20" authorId="0">
      <text>
        <r>
          <rPr>
            <b/>
            <sz val="9"/>
            <rFont val="Tahoma"/>
            <family val="0"/>
          </rPr>
          <t>Pc_adm02:</t>
        </r>
        <r>
          <rPr>
            <sz val="9"/>
            <rFont val="Tahoma"/>
            <family val="0"/>
          </rPr>
          <t xml:space="preserve">
diferença entre PPA e estimativa LDO</t>
        </r>
      </text>
    </comment>
    <comment ref="H21" authorId="0">
      <text>
        <r>
          <rPr>
            <b/>
            <sz val="9"/>
            <rFont val="Tahoma"/>
            <family val="0"/>
          </rPr>
          <t>Pc_adm02:</t>
        </r>
        <r>
          <rPr>
            <sz val="9"/>
            <rFont val="Tahoma"/>
            <family val="0"/>
          </rPr>
          <t xml:space="preserve">
Diferença entre a A-B
</t>
        </r>
      </text>
    </comment>
  </commentList>
</comments>
</file>

<file path=xl/sharedStrings.xml><?xml version="1.0" encoding="utf-8"?>
<sst xmlns="http://schemas.openxmlformats.org/spreadsheetml/2006/main" count="788" uniqueCount="442">
  <si>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</si>
  <si>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</si>
  <si>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</si>
  <si>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</si>
  <si>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</si>
  <si>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</si>
  <si>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</si>
  <si>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</si>
  <si>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</si>
  <si>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</si>
  <si>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</si>
  <si>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</si>
  <si>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</si>
  <si>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</si>
  <si>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</si>
  <si>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</si>
  <si>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</si>
  <si>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</si>
  <si>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</si>
  <si>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</si>
  <si>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</si>
  <si>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</si>
  <si>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</si>
  <si>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</si>
  <si>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</si>
  <si>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</si>
  <si>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</si>
  <si>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</si>
  <si>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</si>
  <si>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</si>
  <si>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</si>
  <si>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</si>
  <si>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</si>
  <si>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</si>
  <si>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</si>
  <si>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</si>
  <si>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</si>
  <si>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</si>
  <si>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</si>
  <si>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</si>
  <si>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</si>
  <si>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</si>
  <si>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</si>
  <si>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</si>
  <si>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</si>
  <si>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</si>
  <si>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</si>
  <si>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</si>
  <si>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</si>
  <si>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</si>
  <si>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</si>
  <si>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</si>
  <si>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</si>
  <si>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</si>
  <si>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</si>
  <si>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</si>
  <si>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</si>
  <si>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</si>
  <si>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</si>
  <si>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</si>
  <si>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</si>
  <si>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</si>
  <si>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</si>
  <si>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</si>
  <si>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</si>
  <si>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</si>
  <si>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</si>
  <si>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</si>
  <si>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</si>
  <si>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</si>
  <si>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</si>
  <si>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</si>
  <si>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</si>
  <si>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</si>
  <si>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</si>
  <si>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</si>
  <si>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</si>
  <si>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</si>
  <si>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</si>
  <si>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</si>
  <si>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</si>
  <si>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</si>
  <si>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</si>
  <si>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</si>
  <si>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</si>
  <si>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</si>
  <si>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</si>
  <si>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</si>
  <si>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</si>
  <si>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</si>
  <si>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</si>
  <si>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</si>
  <si>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</si>
  <si>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</si>
  <si>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</si>
  <si>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</si>
  <si>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</si>
  <si>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</si>
  <si>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</si>
  <si>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</si>
  <si>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</si>
  <si>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</si>
  <si>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</si>
  <si>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</si>
  <si>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</si>
  <si>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</si>
  <si>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</si>
  <si>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</si>
  <si>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</si>
  <si>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</si>
  <si>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</si>
  <si>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</si>
  <si>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</si>
  <si>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</si>
  <si>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</si>
  <si>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</si>
  <si>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</si>
  <si>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</si>
  <si>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</si>
  <si>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</si>
  <si>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</si>
  <si>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</si>
  <si>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</si>
  <si>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</si>
  <si>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</si>
  <si>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</si>
  <si>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</si>
  <si>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</si>
  <si>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</si>
  <si>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</si>
  <si>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</si>
  <si>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</si>
  <si>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</si>
  <si>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</si>
  <si>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</si>
  <si>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</si>
  <si>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</si>
  <si>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</si>
  <si>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</si>
  <si>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</si>
  <si>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</si>
  <si>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</si>
  <si>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</si>
  <si>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</si>
  <si>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</si>
  <si>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</si>
  <si>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RECEITAS PREVIDENCIÁRIAS</t>
  </si>
  <si>
    <t xml:space="preserve">      Pessoal Civil</t>
  </si>
  <si>
    <t>DESPESAS PREVIDENCIÁRIAS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</si>
  <si>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</si>
  <si>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</si>
  <si>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</si>
  <si>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</si>
  <si>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</si>
  <si>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</si>
  <si>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</si>
  <si>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</si>
  <si>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</si>
  <si>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</si>
  <si>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</si>
  <si>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</si>
  <si>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PROVIDÊNCIAS</t>
  </si>
  <si>
    <t>Descrição</t>
  </si>
  <si>
    <t>I-Metas Previstas em</t>
  </si>
  <si>
    <t>II-Metas Realizadas em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</si>
  <si>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</si>
  <si>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</si>
  <si>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</si>
  <si>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</si>
  <si>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</si>
  <si>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</si>
  <si>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</si>
  <si>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</si>
  <si>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</si>
  <si>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</si>
  <si>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ANEXO I - METAS FISCAIS</t>
  </si>
  <si>
    <t xml:space="preserve">  Receitas Primárias (I)</t>
  </si>
  <si>
    <t>Despesas Primárias (II)</t>
  </si>
  <si>
    <t>Fonte: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</si>
  <si>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</si>
  <si>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</si>
  <si>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</si>
  <si>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</si>
  <si>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</si>
  <si>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</si>
  <si>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</si>
  <si>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</si>
  <si>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DA ESTIMATIVA E COMPENSAÇÃO DA RENÚNCIA DE RECEITA</t>
  </si>
  <si>
    <t>Rendimentos de Aplicações Financeiras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</si>
  <si>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</si>
  <si>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</si>
  <si>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</si>
  <si>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</si>
  <si>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</si>
  <si>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</si>
  <si>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</si>
  <si>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</si>
  <si>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</si>
  <si>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</si>
  <si>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</si>
  <si>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</si>
  <si>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RESERVA DE CONTINGÊNCIA</t>
  </si>
  <si>
    <t>INFLAÇÃO MÉDIA ANUAL   (I P C A)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</si>
  <si>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</si>
  <si>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</si>
  <si>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</si>
  <si>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</si>
  <si>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</si>
  <si>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>PREVISÕES DA LEI DE ORÇAMENTO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</si>
  <si>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</si>
  <si>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</si>
  <si>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</si>
  <si>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</si>
  <si>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 xml:space="preserve">DEMONSTRATIVO DA MARGEM DE EXPANSÃO DAS DESPESAS OBRIGATÓRIAS DE CARÁTER CONTINUADO  </t>
  </si>
  <si>
    <t>Outras Inversões Financeiras</t>
  </si>
  <si>
    <t>Rendimento de Aplicações Financeira de Alienaç de Bens</t>
  </si>
  <si>
    <t xml:space="preserve">CRESCIMENTO DOS INVESTIMENTOS </t>
  </si>
  <si>
    <t>Execício</t>
  </si>
  <si>
    <t>Exercício</t>
  </si>
  <si>
    <t>TABELA 02 - Demonstraitvo da Evolução da Dívida e Resultado Nominal</t>
  </si>
  <si>
    <t>(-)  Transferências ao FUNDEB</t>
  </si>
  <si>
    <t>PIB / RS (em R$ milhões)</t>
  </si>
  <si>
    <t>Receitas de Contribuições -   P M</t>
  </si>
  <si>
    <t>1.2.0.0.0.0.0.0.0.0.0</t>
  </si>
  <si>
    <t>Rendimentos de Aplicações - PM</t>
  </si>
  <si>
    <t>Outras Receitas Correntes -  P M</t>
  </si>
  <si>
    <t>7.2.1.0.00.00.00.00</t>
  </si>
  <si>
    <t>Pessoal  Próprio</t>
  </si>
  <si>
    <t>Outras Despesas Correntes</t>
  </si>
  <si>
    <t>Invetimentos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</si>
  <si>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</si>
  <si>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</si>
  <si>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</si>
  <si>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</si>
  <si>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</si>
  <si>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</si>
  <si>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>DEMONSTRATIVO DAS METAS ANUAIS - CONSOLIDADO</t>
  </si>
  <si>
    <t>DEMONSTRATIVO DAS METAS DE RESULTADO PRIMÁRIO DO PREGIME PRÓPRIO DE PREVIDÊNCIA SOCIAL</t>
  </si>
  <si>
    <t>DEMONSTRATIVO DAS METAS DE RESULTADO PRIMÁRIO (EXCLUÍDAS A RECEITAS E DESPESAS DO RPPS)</t>
  </si>
  <si>
    <t xml:space="preserve">  Receita Total </t>
  </si>
  <si>
    <t xml:space="preserve"> Despesa Total </t>
  </si>
  <si>
    <t>Despesas Primárias  (II)</t>
  </si>
  <si>
    <t xml:space="preserve">Operações de Crédito / Pagamentos </t>
  </si>
  <si>
    <t>ANEXO DE  METAS FISCAIS</t>
  </si>
  <si>
    <t xml:space="preserve">   RECEITAS CORRENTES</t>
  </si>
  <si>
    <t xml:space="preserve">      Receita de Contribuições</t>
  </si>
  <si>
    <t xml:space="preserve">         Pessoal Civil</t>
  </si>
  <si>
    <t xml:space="preserve">         Pessoal Militar</t>
  </si>
  <si>
    <t xml:space="preserve">      Receita Patrimonial</t>
  </si>
  <si>
    <t xml:space="preserve">      Receita de Serviços </t>
  </si>
  <si>
    <t xml:space="preserve">      Outras Receitas Correntes</t>
  </si>
  <si>
    <t xml:space="preserve">         Compensação Previdenciária do RGPS para o RPPS</t>
  </si>
  <si>
    <t xml:space="preserve">         Outras Receitas Correntes</t>
  </si>
  <si>
    <t xml:space="preserve">   RECEITAS DE CAPITAL</t>
  </si>
  <si>
    <t xml:space="preserve">      Amortização de Empréstimos</t>
  </si>
  <si>
    <t xml:space="preserve">      Outras Receitas de Capital</t>
  </si>
  <si>
    <t xml:space="preserve">   ADMINISTRAÇÃO</t>
  </si>
  <si>
    <t xml:space="preserve">      Despesas Correntes</t>
  </si>
  <si>
    <t xml:space="preserve">      Despesas de Capital</t>
  </si>
  <si>
    <t xml:space="preserve">      Pessoal Militar   </t>
  </si>
  <si>
    <t xml:space="preserve">      Outras Despesas Previdenciárias</t>
  </si>
  <si>
    <t xml:space="preserve">         Compensação Previdenciária do RPPS para o RGPS</t>
  </si>
  <si>
    <t xml:space="preserve">         Demais Despesas Previdenciárias</t>
  </si>
  <si>
    <t>PROJEÇÃO ATUARIAL DO RPPS</t>
  </si>
  <si>
    <t>AMF – Tabela 7 (LRF, art.4º, § 2º, inciso IV, alínea “a”)</t>
  </si>
  <si>
    <t>RESULTADO PREVIDENCIÁRIO</t>
  </si>
  <si>
    <t>DO EXERCÍCIO</t>
  </si>
  <si>
    <t>(c) = (a-b)</t>
  </si>
  <si>
    <t>(d) = (d Exercício</t>
  </si>
  <si>
    <t>anterior) + (c)</t>
  </si>
  <si>
    <t xml:space="preserve"> (1) Dívida Consolidada </t>
  </si>
  <si>
    <t>(2)  Disponibilidades Financeiras (Líquidas)</t>
  </si>
  <si>
    <t>(3) Dívida Consolidada Líquida</t>
  </si>
  <si>
    <t>(4) Passivos Reconhecidos</t>
  </si>
  <si>
    <t>(5) Dívida Fiscal Líquida</t>
  </si>
  <si>
    <t>(6) Resultado Nominal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</si>
  <si>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</si>
  <si>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</si>
  <si>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</si>
  <si>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</si>
  <si>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</si>
  <si>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</si>
  <si>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</si>
  <si>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</si>
  <si>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Receita Prevista (já deduzido o FUNDEB)</t>
  </si>
  <si>
    <t>AMF - Demonstrativo I (LRF, art. 4º, § 1º)</t>
  </si>
  <si>
    <t>AMF - Demonstativo I (LRF, art. 4º, § 1º)</t>
  </si>
  <si>
    <t>AMF - Demonstrativo II (LRF, art. 4º, §2º, inciso I)</t>
  </si>
  <si>
    <t>AMF – Demonstrativo III (LRF, art.4º, §2º, inciso II)</t>
  </si>
  <si>
    <t>AMF - Demonstrativo IV (LRF, art.4º, §2º, inciso III)</t>
  </si>
  <si>
    <t>AMF - Demonstrativo V (LRF, art.4º, §2º, inciso III)</t>
  </si>
  <si>
    <t>AMF - Demonstrativo VIII (LRF, art. 4°, § 2°, inciso V)</t>
  </si>
  <si>
    <t>AMF - Demonstrativo IX (LRF, art. 4°, § 2°, inciso V)</t>
  </si>
  <si>
    <t>9.0.0.0.00.00.00.00</t>
  </si>
  <si>
    <t>Cronograma Anual de Operações Realizadas e do Serviço da Dívida</t>
  </si>
  <si>
    <t>ANEXO DE RISCOS FISCAIS</t>
  </si>
  <si>
    <r>
      <t>ARF (LRF, art 4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, § 3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</si>
  <si>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</si>
  <si>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</si>
  <si>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</si>
  <si>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</si>
  <si>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</si>
  <si>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</si>
  <si>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</si>
  <si>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</si>
  <si>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</si>
  <si>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</si>
  <si>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</si>
  <si>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</si>
  <si>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</si>
  <si>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RECEITAS E DESPESAS PREVIDENCIÁRIAS DO REGIME PRÓPRIO DE PREVIDÊNCIA DOS SERVIDORES</t>
  </si>
  <si>
    <t>AMF - Demonstrativo VI (LRF, art.4º, §2º, inciso IV, alínea "a")</t>
  </si>
  <si>
    <t>RECEITAS</t>
  </si>
  <si>
    <t>RECEITAS PREVIDENCIÁRIAS - RPPS (EXCETO INTRA-ORÇAMENTÁRIAS) (I)</t>
  </si>
  <si>
    <t xml:space="preserve">      Receita de Contribuições dos Segurados</t>
  </si>
  <si>
    <t xml:space="preserve">      Outras Receitas de Contribuições</t>
  </si>
  <si>
    <t xml:space="preserve">      Alienação de Bens, Direitos e Ativos</t>
  </si>
  <si>
    <t xml:space="preserve">   (–) DEDUÇÕES DA RECEITA</t>
  </si>
  <si>
    <t>RECEITAS PREVIDENCIÁRIAS - RPPS (INTRA-ORÇAMENTÁRIAS) (II)</t>
  </si>
  <si>
    <t xml:space="preserve">         Patronal</t>
  </si>
  <si>
    <t xml:space="preserve">            Pessoal Civil</t>
  </si>
  <si>
    <t xml:space="preserve">            Pessoal Militar</t>
  </si>
  <si>
    <t xml:space="preserve">         Cobertura de Déficit Atuarial</t>
  </si>
  <si>
    <t xml:space="preserve">         Regime de Débitos e Parcelamentos</t>
  </si>
  <si>
    <t>TOTAL DAS RECEITAS PREVIDENCIÁRIAS (III) = (I + II)</t>
  </si>
  <si>
    <t>DESPESAS</t>
  </si>
  <si>
    <t>DESPESAS PREVIDENCIÁRIAS - RPPS (EXCETO INTRA-ORÇAMENTÁRIAS) (IV)</t>
  </si>
  <si>
    <t xml:space="preserve">   PREVIDÊNCIA</t>
  </si>
  <si>
    <t>DESPESAS PREVIDENCIÁRIAS - RPPS (INTRA-ORÇAMENTÁRIAS) (V)</t>
  </si>
  <si>
    <t>TOTAL DAS DESPESAS PREVIDENCIÁRIAS (VI) = (IV + V)</t>
  </si>
  <si>
    <t>RESULTADO PREVIDENCIÁRIO (VII) = (III – VI)</t>
  </si>
  <si>
    <t>APORTES DE RECURSOS PARA O REGIME PRÓPRIO 
DE PREVIDÊNCIA DO SERVIDOR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</si>
  <si>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</si>
  <si>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</si>
  <si>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</si>
  <si>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</si>
  <si>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</si>
  <si>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</si>
  <si>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</si>
  <si>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</si>
  <si>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</si>
  <si>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</si>
  <si>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</si>
  <si>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</si>
  <si>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</si>
  <si>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</si>
  <si>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</si>
  <si>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</si>
  <si>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</si>
  <si>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Abertura de Créditos Adicionais a partir da reserva de contingência</t>
  </si>
  <si>
    <t>Limitação de empenhos conforme LDO</t>
  </si>
  <si>
    <t>ANEXO  III -  METAS E PRIORIDADES</t>
  </si>
  <si>
    <t xml:space="preserve">PROGRAMA: </t>
  </si>
  <si>
    <t xml:space="preserve">OBJETIVO: 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</si>
  <si>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</si>
  <si>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</si>
  <si>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</si>
  <si>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</si>
  <si>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</si>
  <si>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family val="0"/>
      </rPr>
      <t>è</t>
    </r>
  </si>
  <si>
    <t xml:space="preserve">(*)  Tipo:  P – Projeto       A - Atividade </t>
  </si>
  <si>
    <t xml:space="preserve">OE – Operação Especial      NO – Não-orçamentária           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</si>
  <si>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</si>
  <si>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</si>
  <si>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</si>
  <si>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</si>
  <si>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</si>
  <si>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</si>
  <si>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</si>
  <si>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</si>
  <si>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</si>
  <si>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</si>
  <si>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Receita de Contribuições  -  R P P S  </t>
  </si>
  <si>
    <t xml:space="preserve">Rendimentos de Aplicações - RPPS </t>
  </si>
  <si>
    <t xml:space="preserve">Outras Receitas Correntes - R P P S </t>
  </si>
  <si>
    <t xml:space="preserve">Receitas Intra Orçamentárias - RPPS </t>
  </si>
  <si>
    <t xml:space="preserve">Pessoal  do  R P P S  </t>
  </si>
  <si>
    <t xml:space="preserve">Juros e encargos da Dívida RPPS  </t>
  </si>
  <si>
    <t xml:space="preserve">Outras Despesas Corrente  RPPS </t>
  </si>
  <si>
    <t xml:space="preserve">Invetimentos  RPPS  </t>
  </si>
  <si>
    <t>Receita de Contribuições  -  R P P S</t>
  </si>
  <si>
    <t xml:space="preserve">Pessoal  do  R P P S </t>
  </si>
  <si>
    <t xml:space="preserve">Juros e encargos da Dívida RPPS </t>
  </si>
  <si>
    <t>Outras Despesas Corrente  RPPS</t>
  </si>
  <si>
    <t xml:space="preserve">Invetimentos  RPPS </t>
  </si>
  <si>
    <t>. . .</t>
  </si>
  <si>
    <t>CONSERVAÇÃO DO PATRIMÔNIO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</si>
  <si>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</si>
  <si>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</si>
  <si>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</si>
  <si>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</si>
  <si>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t> FONTE: Sistema &lt;Nome&gt;, Unidade Responsável &lt;Nome&gt;, Data da emissão &lt;dd/mmm/aaaa&gt; e hora de emissão &lt;hhh e mmm&gt;</t>
  </si>
  <si>
    <r>
      <t xml:space="preserve">Fonte: </t>
    </r>
    <r>
      <rPr>
        <sz val="10"/>
        <rFont val="Arial"/>
        <family val="2"/>
      </rPr>
      <t>Nota Técnica Atuarial elaborada por . . . .     Data:</t>
    </r>
  </si>
  <si>
    <t>Fonte:  Sistema &lt;Nome&gt;, Unidade Responsável &lt;Nome&gt;, Data da emissão &lt;dd/mmm/aaaa&gt; e hora de emissão &lt;hhh e mmm&gt;</t>
  </si>
  <si>
    <t>Taxa de Juros Selic (Média do Ano)</t>
  </si>
  <si>
    <t xml:space="preserve">Construção de 40 casas populares </t>
  </si>
  <si>
    <t>câmara</t>
  </si>
  <si>
    <t>gapre</t>
  </si>
  <si>
    <t>procuradoria</t>
  </si>
  <si>
    <t>planejamento</t>
  </si>
  <si>
    <t>fazenda</t>
  </si>
  <si>
    <t>educação</t>
  </si>
  <si>
    <t>saude</t>
  </si>
  <si>
    <t>obras</t>
  </si>
  <si>
    <t>agricultura</t>
  </si>
  <si>
    <t>ambiente</t>
  </si>
  <si>
    <t>admin</t>
  </si>
  <si>
    <t>Construção do Centro Municipal de Esporte e Lazer.</t>
  </si>
  <si>
    <t>MUNICÍPIO DE: BARRA DO QUARAI</t>
  </si>
  <si>
    <t>MEMÓRIA DE CÁLCULO DAS RECEITAS E DESPESAS - LDO PARA  2017</t>
  </si>
  <si>
    <t xml:space="preserve">VARIAÇÃO DO PIB </t>
  </si>
  <si>
    <t xml:space="preserve">    </t>
  </si>
  <si>
    <t>Valor Previsto 2017</t>
  </si>
  <si>
    <t>EXERCÍCIO DE 2018</t>
  </si>
  <si>
    <t>LEI DE DIRETRIZES ORÇAMENTÁRIAS  PARA 2018</t>
  </si>
  <si>
    <t>SALDOS DE EXERCÍCIOS ANTERIORES A 2017</t>
  </si>
  <si>
    <t>Exercíocio de 2018</t>
  </si>
  <si>
    <t>LEI DE DIRETRIZES ORÇAMENTÁRIAS – 2018</t>
  </si>
  <si>
    <t>LEI DE DIRETRIZES ORÇAMENTÁRIAS - 2018</t>
  </si>
  <si>
    <t>LEI DE DIRETRIZES ORÇAMENTÁRIAS PARA 2018</t>
  </si>
  <si>
    <t>reserva</t>
  </si>
  <si>
    <t>sedifron</t>
  </si>
  <si>
    <t>Projeção PPA 2018</t>
  </si>
  <si>
    <t>assistencia</t>
  </si>
  <si>
    <t>Diferença</t>
  </si>
  <si>
    <t>A</t>
  </si>
  <si>
    <t>B</t>
  </si>
  <si>
    <t>LDO 2018</t>
  </si>
  <si>
    <t>Estimativo</t>
  </si>
  <si>
    <t>Total:</t>
  </si>
  <si>
    <t>2016 (a)</t>
  </si>
  <si>
    <t>2016 (b)</t>
  </si>
  <si>
    <t>NO EXERCÍCIO DE 2017</t>
  </si>
  <si>
    <t>A EXECUTAR EM 2018</t>
  </si>
  <si>
    <t>RECURSOS PRIORIZADOS P/2018</t>
  </si>
  <si>
    <t>ATÉ EXERC ANTERIOR - 2017</t>
  </si>
  <si>
    <t>Conclusão da Rede de Esgoto Pluvial (Programa Minha Casa, Minha Vida).</t>
  </si>
  <si>
    <t>Pavimentação de vias públicas</t>
  </si>
  <si>
    <t>Dezapropriação para areas de recreação e lazer.</t>
  </si>
  <si>
    <t>Manutenção de prédios públicos</t>
  </si>
  <si>
    <t>Município de Barra do Quaraí</t>
  </si>
  <si>
    <t xml:space="preserve"> EXERCÍCIO DE 2018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</si>
</sst>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[$-416]dddd\,\ d&quot; de &quot;mmmm&quot; de &quot;yyyy"/>
    <numFmt numFmtId="199" formatCode="00000"/>
    <numFmt numFmtId="200" formatCode="&quot;R$&quot;\ #,##0.00"/>
  </numFmts>
  <fonts count="11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u val="single"/>
      <vertAlign val="superscript"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Wingdings"/>
      <family val="0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Helv"/>
      <family val="0"/>
    </font>
    <font>
      <b/>
      <u val="single"/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8"/>
      <color indexed="30"/>
      <name val="Calibri"/>
      <family val="2"/>
    </font>
    <font>
      <sz val="18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9"/>
      <name val="Helv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 val="single"/>
      <sz val="18"/>
      <color rgb="FF0070C0"/>
      <name val="Calibri"/>
      <family val="2"/>
    </font>
    <font>
      <sz val="18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0"/>
      <name val="Helv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0" fillId="21" borderId="5" applyNumberFormat="0" applyAlignment="0" applyProtection="0"/>
    <xf numFmtId="16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8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/>
      <protection locked="0"/>
    </xf>
    <xf numFmtId="184" fontId="3" fillId="33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Border="1" applyAlignment="1" applyProtection="1">
      <alignment/>
      <protection locked="0"/>
    </xf>
    <xf numFmtId="38" fontId="3" fillId="0" borderId="11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4" borderId="0" xfId="5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38" fontId="7" fillId="34" borderId="10" xfId="0" applyNumberFormat="1" applyFont="1" applyFill="1" applyBorder="1" applyAlignment="1" applyProtection="1">
      <alignment/>
      <protection locked="0"/>
    </xf>
    <xf numFmtId="38" fontId="7" fillId="34" borderId="12" xfId="0" applyNumberFormat="1" applyFont="1" applyFill="1" applyBorder="1" applyAlignment="1" applyProtection="1">
      <alignment/>
      <protection locked="0"/>
    </xf>
    <xf numFmtId="184" fontId="3" fillId="33" borderId="11" xfId="0" applyNumberFormat="1" applyFont="1" applyFill="1" applyBorder="1" applyAlignment="1" applyProtection="1">
      <alignment horizontal="center"/>
      <protection locked="0"/>
    </xf>
    <xf numFmtId="184" fontId="5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167" fontId="17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7" fontId="19" fillId="0" borderId="16" xfId="0" applyNumberFormat="1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21" xfId="0" applyFill="1" applyBorder="1" applyAlignment="1">
      <alignment/>
    </xf>
    <xf numFmtId="4" fontId="9" fillId="35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38" fontId="23" fillId="0" borderId="0" xfId="0" applyNumberFormat="1" applyFont="1" applyBorder="1" applyAlignment="1" applyProtection="1">
      <alignment horizontal="centerContinuous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right"/>
      <protection locked="0"/>
    </xf>
    <xf numFmtId="184" fontId="1" fillId="33" borderId="2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23" fillId="0" borderId="27" xfId="0" applyNumberFormat="1" applyFont="1" applyBorder="1" applyAlignment="1" applyProtection="1">
      <alignment/>
      <protection locked="0"/>
    </xf>
    <xf numFmtId="4" fontId="23" fillId="34" borderId="26" xfId="0" applyNumberFormat="1" applyFont="1" applyFill="1" applyBorder="1" applyAlignment="1" applyProtection="1">
      <alignment vertical="center"/>
      <protection locked="0"/>
    </xf>
    <xf numFmtId="4" fontId="2" fillId="34" borderId="26" xfId="0" applyNumberFormat="1" applyFont="1" applyFill="1" applyBorder="1" applyAlignment="1" applyProtection="1">
      <alignment/>
      <protection locked="0"/>
    </xf>
    <xf numFmtId="38" fontId="23" fillId="0" borderId="0" xfId="0" applyNumberFormat="1" applyFont="1" applyAlignment="1" applyProtection="1">
      <alignment/>
      <protection locked="0"/>
    </xf>
    <xf numFmtId="184" fontId="14" fillId="33" borderId="27" xfId="0" applyNumberFormat="1" applyFont="1" applyFill="1" applyBorder="1" applyAlignment="1" applyProtection="1">
      <alignment horizontal="center"/>
      <protection locked="0"/>
    </xf>
    <xf numFmtId="184" fontId="14" fillId="33" borderId="26" xfId="0" applyNumberFormat="1" applyFont="1" applyFill="1" applyBorder="1" applyAlignment="1" applyProtection="1">
      <alignment horizontal="center"/>
      <protection locked="0"/>
    </xf>
    <xf numFmtId="184" fontId="1" fillId="33" borderId="27" xfId="0" applyNumberFormat="1" applyFont="1" applyFill="1" applyBorder="1" applyAlignment="1">
      <alignment horizontal="center" vertical="center"/>
    </xf>
    <xf numFmtId="38" fontId="14" fillId="0" borderId="27" xfId="0" applyNumberFormat="1" applyFont="1" applyBorder="1" applyAlignment="1" applyProtection="1">
      <alignment/>
      <protection locked="0"/>
    </xf>
    <xf numFmtId="38" fontId="14" fillId="0" borderId="26" xfId="0" applyNumberFormat="1" applyFont="1" applyBorder="1" applyAlignment="1" applyProtection="1">
      <alignment/>
      <protection locked="0"/>
    </xf>
    <xf numFmtId="38" fontId="14" fillId="34" borderId="26" xfId="0" applyNumberFormat="1" applyFont="1" applyFill="1" applyBorder="1" applyAlignment="1" applyProtection="1">
      <alignment/>
      <protection locked="0"/>
    </xf>
    <xf numFmtId="38" fontId="14" fillId="0" borderId="28" xfId="0" applyNumberFormat="1" applyFont="1" applyBorder="1" applyAlignment="1" applyProtection="1">
      <alignment/>
      <protection locked="0"/>
    </xf>
    <xf numFmtId="38" fontId="14" fillId="34" borderId="29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4" fontId="0" fillId="36" borderId="25" xfId="0" applyNumberFormat="1" applyFont="1" applyFill="1" applyBorder="1" applyAlignment="1">
      <alignment/>
    </xf>
    <xf numFmtId="0" fontId="9" fillId="35" borderId="30" xfId="0" applyFont="1" applyFill="1" applyBorder="1" applyAlignment="1">
      <alignment horizontal="center"/>
    </xf>
    <xf numFmtId="0" fontId="18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49" fontId="17" fillId="0" borderId="31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34" borderId="0" xfId="0" applyFont="1" applyFill="1" applyBorder="1" applyAlignment="1">
      <alignment/>
    </xf>
    <xf numFmtId="4" fontId="24" fillId="34" borderId="0" xfId="51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" fontId="0" fillId="35" borderId="25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9" fillId="35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4" fillId="0" borderId="0" xfId="0" applyFont="1" applyBorder="1" applyAlignment="1">
      <alignment/>
    </xf>
    <xf numFmtId="171" fontId="2" fillId="0" borderId="1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 vertical="top" wrapText="1"/>
    </xf>
    <xf numFmtId="167" fontId="19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right" vertical="top" wrapText="1"/>
    </xf>
    <xf numFmtId="167" fontId="19" fillId="0" borderId="17" xfId="0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/>
    </xf>
    <xf numFmtId="0" fontId="19" fillId="0" borderId="22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right" vertical="top" wrapText="1"/>
    </xf>
    <xf numFmtId="0" fontId="17" fillId="0" borderId="35" xfId="0" applyFont="1" applyBorder="1" applyAlignment="1">
      <alignment horizontal="left"/>
    </xf>
    <xf numFmtId="169" fontId="0" fillId="0" borderId="15" xfId="0" applyNumberFormat="1" applyFont="1" applyFill="1" applyBorder="1" applyAlignment="1" applyProtection="1">
      <alignment horizontal="right"/>
      <protection locked="0"/>
    </xf>
    <xf numFmtId="169" fontId="0" fillId="0" borderId="14" xfId="0" applyNumberFormat="1" applyFont="1" applyFill="1" applyBorder="1" applyAlignment="1" applyProtection="1">
      <alignment horizontal="right"/>
      <protection locked="0"/>
    </xf>
    <xf numFmtId="171" fontId="21" fillId="0" borderId="15" xfId="0" applyNumberFormat="1" applyFont="1" applyFill="1" applyBorder="1" applyAlignment="1" applyProtection="1">
      <alignment vertical="top" wrapText="1"/>
      <protection locked="0"/>
    </xf>
    <xf numFmtId="171" fontId="21" fillId="0" borderId="14" xfId="0" applyNumberFormat="1" applyFont="1" applyFill="1" applyBorder="1" applyAlignment="1" applyProtection="1">
      <alignment vertical="top" wrapText="1"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9" fillId="0" borderId="25" xfId="0" applyNumberFormat="1" applyFont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167" fontId="0" fillId="0" borderId="39" xfId="0" applyNumberFormat="1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wrapText="1"/>
    </xf>
    <xf numFmtId="171" fontId="0" fillId="0" borderId="15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171" fontId="0" fillId="0" borderId="14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 horizontal="left"/>
    </xf>
    <xf numFmtId="0" fontId="17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4" fontId="10" fillId="34" borderId="0" xfId="51" applyNumberFormat="1" applyFont="1" applyFill="1" applyBorder="1" applyAlignment="1">
      <alignment/>
    </xf>
    <xf numFmtId="4" fontId="21" fillId="34" borderId="0" xfId="51" applyNumberFormat="1" applyFont="1" applyFill="1" applyBorder="1" applyAlignment="1">
      <alignment/>
    </xf>
    <xf numFmtId="0" fontId="10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0" fontId="29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40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167" fontId="0" fillId="0" borderId="16" xfId="0" applyNumberFormat="1" applyFont="1" applyFill="1" applyBorder="1" applyAlignment="1">
      <alignment horizontal="left"/>
    </xf>
    <xf numFmtId="169" fontId="0" fillId="0" borderId="15" xfId="0" applyNumberFormat="1" applyFont="1" applyFill="1" applyBorder="1" applyAlignment="1">
      <alignment horizontal="right" wrapText="1"/>
    </xf>
    <xf numFmtId="10" fontId="0" fillId="0" borderId="15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 vertical="top"/>
    </xf>
    <xf numFmtId="10" fontId="0" fillId="0" borderId="15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69" fontId="0" fillId="0" borderId="15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171" fontId="21" fillId="0" borderId="15" xfId="0" applyNumberFormat="1" applyFont="1" applyFill="1" applyBorder="1" applyAlignment="1">
      <alignment horizontal="center" vertical="center" wrapText="1"/>
    </xf>
    <xf numFmtId="171" fontId="21" fillId="0" borderId="15" xfId="0" applyNumberFormat="1" applyFont="1" applyFill="1" applyBorder="1" applyAlignment="1">
      <alignment vertical="top" wrapText="1"/>
    </xf>
    <xf numFmtId="171" fontId="21" fillId="0" borderId="14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 applyProtection="1">
      <alignment vertical="top" wrapText="1"/>
      <protection locked="0"/>
    </xf>
    <xf numFmtId="0" fontId="19" fillId="0" borderId="14" xfId="0" applyFont="1" applyFill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wrapText="1"/>
    </xf>
    <xf numFmtId="0" fontId="20" fillId="0" borderId="15" xfId="0" applyFont="1" applyFill="1" applyBorder="1" applyAlignment="1">
      <alignment vertical="top" wrapText="1"/>
    </xf>
    <xf numFmtId="171" fontId="1" fillId="0" borderId="0" xfId="0" applyNumberFormat="1" applyFont="1" applyFill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171" fontId="2" fillId="0" borderId="0" xfId="0" applyNumberFormat="1" applyFont="1" applyFill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vertical="top" wrapText="1"/>
    </xf>
    <xf numFmtId="171" fontId="2" fillId="0" borderId="17" xfId="0" applyNumberFormat="1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171" fontId="18" fillId="33" borderId="0" xfId="0" applyNumberFormat="1" applyFont="1" applyFill="1" applyAlignment="1" applyProtection="1">
      <alignment vertical="top" wrapText="1"/>
      <protection locked="0"/>
    </xf>
    <xf numFmtId="171" fontId="17" fillId="0" borderId="0" xfId="0" applyNumberFormat="1" applyFont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vertical="top" wrapText="1"/>
      <protection locked="0"/>
    </xf>
    <xf numFmtId="171" fontId="17" fillId="0" borderId="17" xfId="0" applyNumberFormat="1" applyFont="1" applyBorder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10" fontId="2" fillId="0" borderId="15" xfId="0" applyNumberFormat="1" applyFont="1" applyFill="1" applyBorder="1" applyAlignment="1">
      <alignment wrapText="1"/>
    </xf>
    <xf numFmtId="171" fontId="2" fillId="0" borderId="15" xfId="0" applyNumberFormat="1" applyFont="1" applyFill="1" applyBorder="1" applyAlignment="1" applyProtection="1">
      <alignment wrapText="1"/>
      <protection locked="0"/>
    </xf>
    <xf numFmtId="171" fontId="2" fillId="0" borderId="14" xfId="0" applyNumberFormat="1" applyFont="1" applyFill="1" applyBorder="1" applyAlignment="1" applyProtection="1">
      <alignment wrapText="1"/>
      <protection locked="0"/>
    </xf>
    <xf numFmtId="10" fontId="2" fillId="0" borderId="14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171" fontId="2" fillId="0" borderId="14" xfId="0" applyNumberFormat="1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left" wrapText="1"/>
    </xf>
    <xf numFmtId="171" fontId="19" fillId="0" borderId="25" xfId="0" applyNumberFormat="1" applyFont="1" applyBorder="1" applyAlignment="1">
      <alignment horizontal="justify" vertical="top" wrapText="1"/>
    </xf>
    <xf numFmtId="0" fontId="19" fillId="0" borderId="25" xfId="0" applyFont="1" applyBorder="1" applyAlignment="1">
      <alignment horizontal="justify" vertical="top" wrapText="1"/>
    </xf>
    <xf numFmtId="0" fontId="19" fillId="0" borderId="25" xfId="0" applyFont="1" applyFill="1" applyBorder="1" applyAlignment="1">
      <alignment horizontal="left" wrapText="1"/>
    </xf>
    <xf numFmtId="171" fontId="19" fillId="0" borderId="25" xfId="0" applyNumberFormat="1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9" fillId="0" borderId="3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/>
    </xf>
    <xf numFmtId="0" fontId="19" fillId="0" borderId="41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171" fontId="20" fillId="0" borderId="15" xfId="0" applyNumberFormat="1" applyFont="1" applyFill="1" applyBorder="1" applyAlignment="1">
      <alignment/>
    </xf>
    <xf numFmtId="171" fontId="20" fillId="0" borderId="15" xfId="0" applyNumberFormat="1" applyFont="1" applyFill="1" applyBorder="1" applyAlignment="1">
      <alignment horizontal="left" vertical="top" wrapText="1"/>
    </xf>
    <xf numFmtId="171" fontId="19" fillId="0" borderId="15" xfId="0" applyNumberFormat="1" applyFont="1" applyFill="1" applyBorder="1" applyAlignment="1">
      <alignment horizontal="left" vertical="top" wrapText="1"/>
    </xf>
    <xf numFmtId="171" fontId="20" fillId="0" borderId="34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19" fillId="0" borderId="14" xfId="0" applyNumberFormat="1" applyFont="1" applyFill="1" applyBorder="1" applyAlignment="1">
      <alignment horizontal="left" vertical="top" wrapText="1"/>
    </xf>
    <xf numFmtId="171" fontId="19" fillId="0" borderId="17" xfId="0" applyNumberFormat="1" applyFont="1" applyFill="1" applyBorder="1" applyAlignment="1">
      <alignment horizontal="left" vertical="top" wrapText="1"/>
    </xf>
    <xf numFmtId="171" fontId="20" fillId="0" borderId="14" xfId="0" applyNumberFormat="1" applyFont="1" applyFill="1" applyBorder="1" applyAlignment="1">
      <alignment horizontal="left" vertical="top" wrapText="1"/>
    </xf>
    <xf numFmtId="171" fontId="19" fillId="0" borderId="14" xfId="0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left" wrapText="1"/>
    </xf>
    <xf numFmtId="171" fontId="20" fillId="0" borderId="25" xfId="0" applyNumberFormat="1" applyFont="1" applyFill="1" applyBorder="1" applyAlignment="1">
      <alignment horizontal="justify" vertical="top" wrapText="1"/>
    </xf>
    <xf numFmtId="0" fontId="20" fillId="0" borderId="24" xfId="0" applyFont="1" applyFill="1" applyBorder="1" applyAlignment="1">
      <alignment horizontal="left" wrapText="1"/>
    </xf>
    <xf numFmtId="171" fontId="20" fillId="0" borderId="24" xfId="0" applyNumberFormat="1" applyFont="1" applyFill="1" applyBorder="1" applyAlignment="1">
      <alignment horizontal="justify" vertical="top" wrapText="1"/>
    </xf>
    <xf numFmtId="3" fontId="1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 applyProtection="1">
      <alignment/>
      <protection locked="0"/>
    </xf>
    <xf numFmtId="171" fontId="10" fillId="0" borderId="25" xfId="0" applyNumberFormat="1" applyFont="1" applyFill="1" applyBorder="1" applyAlignment="1">
      <alignment/>
    </xf>
    <xf numFmtId="0" fontId="21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171" fontId="10" fillId="0" borderId="25" xfId="0" applyNumberFormat="1" applyFont="1" applyFill="1" applyBorder="1" applyAlignment="1">
      <alignment horizontal="right"/>
    </xf>
    <xf numFmtId="171" fontId="10" fillId="0" borderId="25" xfId="0" applyNumberFormat="1" applyFont="1" applyFill="1" applyBorder="1" applyAlignment="1" applyProtection="1">
      <alignment horizontal="right"/>
      <protection locked="0"/>
    </xf>
    <xf numFmtId="171" fontId="21" fillId="0" borderId="25" xfId="0" applyNumberFormat="1" applyFont="1" applyBorder="1" applyAlignment="1">
      <alignment/>
    </xf>
    <xf numFmtId="0" fontId="19" fillId="0" borderId="25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vertical="top" wrapText="1"/>
    </xf>
    <xf numFmtId="0" fontId="19" fillId="0" borderId="25" xfId="0" applyFont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197" fontId="2" fillId="0" borderId="25" xfId="0" applyNumberFormat="1" applyFont="1" applyFill="1" applyBorder="1" applyAlignment="1">
      <alignment wrapText="1"/>
    </xf>
    <xf numFmtId="0" fontId="9" fillId="0" borderId="25" xfId="0" applyFont="1" applyFill="1" applyBorder="1" applyAlignment="1">
      <alignment horizontal="center"/>
    </xf>
    <xf numFmtId="0" fontId="9" fillId="37" borderId="25" xfId="0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 horizontal="center"/>
      <protection/>
    </xf>
    <xf numFmtId="0" fontId="9" fillId="37" borderId="25" xfId="0" applyFont="1" applyFill="1" applyBorder="1" applyAlignment="1">
      <alignment/>
    </xf>
    <xf numFmtId="0" fontId="9" fillId="38" borderId="25" xfId="0" applyFont="1" applyFill="1" applyBorder="1" applyAlignment="1">
      <alignment/>
    </xf>
    <xf numFmtId="10" fontId="0" fillId="0" borderId="25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/>
    </xf>
    <xf numFmtId="169" fontId="0" fillId="0" borderId="25" xfId="0" applyNumberFormat="1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/>
    </xf>
    <xf numFmtId="0" fontId="19" fillId="0" borderId="25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horizontal="right" wrapText="1"/>
    </xf>
    <xf numFmtId="169" fontId="2" fillId="0" borderId="25" xfId="0" applyNumberFormat="1" applyFont="1" applyFill="1" applyBorder="1" applyAlignment="1">
      <alignment vertical="top" wrapText="1"/>
    </xf>
    <xf numFmtId="10" fontId="2" fillId="0" borderId="25" xfId="0" applyNumberFormat="1" applyFont="1" applyFill="1" applyBorder="1" applyAlignment="1">
      <alignment vertical="top" wrapText="1"/>
    </xf>
    <xf numFmtId="169" fontId="2" fillId="0" borderId="25" xfId="0" applyNumberFormat="1" applyFont="1" applyFill="1" applyBorder="1" applyAlignment="1" applyProtection="1">
      <alignment wrapText="1"/>
      <protection locked="0"/>
    </xf>
    <xf numFmtId="43" fontId="19" fillId="0" borderId="14" xfId="0" applyNumberFormat="1" applyFont="1" applyFill="1" applyBorder="1" applyAlignment="1">
      <alignment horizontal="left" vertical="top" wrapText="1"/>
    </xf>
    <xf numFmtId="43" fontId="0" fillId="0" borderId="24" xfId="0" applyNumberFormat="1" applyFont="1" applyFill="1" applyBorder="1" applyAlignment="1">
      <alignment horizontal="right" vertical="top" wrapText="1"/>
    </xf>
    <xf numFmtId="43" fontId="0" fillId="0" borderId="22" xfId="0" applyNumberFormat="1" applyFont="1" applyFill="1" applyBorder="1" applyAlignment="1">
      <alignment horizontal="right" vertical="top" wrapText="1"/>
    </xf>
    <xf numFmtId="43" fontId="0" fillId="0" borderId="23" xfId="0" applyNumberFormat="1" applyFont="1" applyFill="1" applyBorder="1" applyAlignment="1">
      <alignment horizontal="right" vertical="top" wrapText="1"/>
    </xf>
    <xf numFmtId="0" fontId="24" fillId="0" borderId="42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5" fillId="39" borderId="47" xfId="0" applyFont="1" applyFill="1" applyBorder="1" applyAlignment="1">
      <alignment horizontal="center" vertical="top" wrapText="1"/>
    </xf>
    <xf numFmtId="0" fontId="25" fillId="39" borderId="43" xfId="0" applyFont="1" applyFill="1" applyBorder="1" applyAlignment="1">
      <alignment horizontal="center" vertical="top" wrapText="1"/>
    </xf>
    <xf numFmtId="0" fontId="25" fillId="39" borderId="46" xfId="0" applyFont="1" applyFill="1" applyBorder="1" applyAlignment="1">
      <alignment horizontal="center" vertical="top" wrapText="1"/>
    </xf>
    <xf numFmtId="0" fontId="0" fillId="39" borderId="46" xfId="0" applyFill="1" applyBorder="1" applyAlignment="1">
      <alignment vertical="top" wrapText="1"/>
    </xf>
    <xf numFmtId="0" fontId="25" fillId="39" borderId="43" xfId="0" applyFont="1" applyFill="1" applyBorder="1" applyAlignment="1">
      <alignment vertical="top" wrapText="1"/>
    </xf>
    <xf numFmtId="0" fontId="25" fillId="39" borderId="46" xfId="0" applyFont="1" applyFill="1" applyBorder="1" applyAlignment="1">
      <alignment vertical="top" wrapText="1"/>
    </xf>
    <xf numFmtId="0" fontId="24" fillId="0" borderId="46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46" xfId="0" applyFont="1" applyBorder="1" applyAlignment="1">
      <alignment horizontal="center" wrapText="1"/>
    </xf>
    <xf numFmtId="171" fontId="0" fillId="0" borderId="46" xfId="0" applyNumberFormat="1" applyFont="1" applyBorder="1" applyAlignment="1">
      <alignment horizontal="center" wrapText="1"/>
    </xf>
    <xf numFmtId="0" fontId="0" fillId="0" borderId="46" xfId="0" applyFont="1" applyBorder="1" applyAlignment="1">
      <alignment horizontal="right" wrapText="1"/>
    </xf>
    <xf numFmtId="171" fontId="0" fillId="0" borderId="46" xfId="0" applyNumberFormat="1" applyFont="1" applyBorder="1" applyAlignment="1">
      <alignment horizontal="right" wrapText="1"/>
    </xf>
    <xf numFmtId="0" fontId="36" fillId="35" borderId="15" xfId="0" applyFont="1" applyFill="1" applyBorder="1" applyAlignment="1">
      <alignment/>
    </xf>
    <xf numFmtId="0" fontId="36" fillId="35" borderId="22" xfId="0" applyFont="1" applyFill="1" applyBorder="1" applyAlignment="1">
      <alignment/>
    </xf>
    <xf numFmtId="49" fontId="19" fillId="0" borderId="31" xfId="0" applyNumberFormat="1" applyFont="1" applyBorder="1" applyAlignment="1">
      <alignment horizontal="justify" wrapText="1"/>
    </xf>
    <xf numFmtId="0" fontId="0" fillId="0" borderId="32" xfId="0" applyFont="1" applyBorder="1" applyAlignment="1">
      <alignment horizontal="justify" wrapText="1"/>
    </xf>
    <xf numFmtId="0" fontId="0" fillId="0" borderId="33" xfId="0" applyFont="1" applyBorder="1" applyAlignment="1">
      <alignment horizontal="justify" wrapText="1"/>
    </xf>
    <xf numFmtId="0" fontId="19" fillId="0" borderId="48" xfId="0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vertical="top" wrapText="1"/>
    </xf>
    <xf numFmtId="0" fontId="19" fillId="0" borderId="52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wrapText="1"/>
    </xf>
    <xf numFmtId="0" fontId="19" fillId="0" borderId="53" xfId="0" applyFont="1" applyBorder="1" applyAlignment="1">
      <alignment horizontal="center" vertical="top" wrapText="1"/>
    </xf>
    <xf numFmtId="0" fontId="0" fillId="0" borderId="54" xfId="0" applyFont="1" applyBorder="1" applyAlignment="1">
      <alignment vertical="top" wrapText="1"/>
    </xf>
    <xf numFmtId="0" fontId="19" fillId="0" borderId="54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169" fontId="2" fillId="40" borderId="15" xfId="0" applyNumberFormat="1" applyFont="1" applyFill="1" applyBorder="1" applyAlignment="1">
      <alignment wrapText="1"/>
    </xf>
    <xf numFmtId="197" fontId="2" fillId="40" borderId="15" xfId="0" applyNumberFormat="1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35" xfId="0" applyFont="1" applyFill="1" applyBorder="1" applyAlignment="1">
      <alignment horizontal="left"/>
    </xf>
    <xf numFmtId="0" fontId="18" fillId="0" borderId="17" xfId="0" applyFont="1" applyBorder="1" applyAlignment="1">
      <alignment horizontal="center" vertical="center" wrapText="1"/>
    </xf>
    <xf numFmtId="169" fontId="0" fillId="0" borderId="25" xfId="0" applyNumberFormat="1" applyFont="1" applyFill="1" applyBorder="1" applyAlignment="1" applyProtection="1">
      <alignment horizontal="center"/>
      <protection locked="0"/>
    </xf>
    <xf numFmtId="43" fontId="0" fillId="0" borderId="25" xfId="0" applyNumberFormat="1" applyFont="1" applyFill="1" applyBorder="1" applyAlignment="1">
      <alignment horizontal="left" vertical="top" wrapText="1"/>
    </xf>
    <xf numFmtId="43" fontId="0" fillId="0" borderId="34" xfId="0" applyNumberFormat="1" applyFont="1" applyFill="1" applyBorder="1" applyAlignment="1">
      <alignment horizontal="left" vertical="top" wrapText="1"/>
    </xf>
    <xf numFmtId="43" fontId="19" fillId="0" borderId="23" xfId="0" applyNumberFormat="1" applyFont="1" applyFill="1" applyBorder="1" applyAlignment="1">
      <alignment horizontal="left" vertical="top" wrapText="1"/>
    </xf>
    <xf numFmtId="10" fontId="0" fillId="0" borderId="25" xfId="0" applyNumberFormat="1" applyFont="1" applyFill="1" applyBorder="1" applyAlignment="1">
      <alignment horizontal="center"/>
    </xf>
    <xf numFmtId="14" fontId="0" fillId="0" borderId="46" xfId="0" applyNumberFormat="1" applyFont="1" applyBorder="1" applyAlignment="1">
      <alignment wrapText="1"/>
    </xf>
    <xf numFmtId="183" fontId="0" fillId="0" borderId="46" xfId="47" applyFont="1" applyBorder="1" applyAlignment="1">
      <alignment wrapText="1"/>
    </xf>
    <xf numFmtId="183" fontId="0" fillId="0" borderId="46" xfId="47" applyFont="1" applyBorder="1" applyAlignment="1">
      <alignment horizontal="center" wrapText="1"/>
    </xf>
    <xf numFmtId="183" fontId="0" fillId="0" borderId="46" xfId="47" applyFont="1" applyBorder="1" applyAlignment="1">
      <alignment horizontal="right" wrapText="1"/>
    </xf>
    <xf numFmtId="44" fontId="0" fillId="0" borderId="0" xfId="0" applyNumberFormat="1" applyAlignment="1">
      <alignment/>
    </xf>
    <xf numFmtId="4" fontId="98" fillId="0" borderId="25" xfId="0" applyNumberFormat="1" applyFont="1" applyBorder="1" applyAlignment="1" applyProtection="1">
      <alignment/>
      <protection locked="0"/>
    </xf>
    <xf numFmtId="10" fontId="99" fillId="0" borderId="25" xfId="0" applyNumberFormat="1" applyFont="1" applyFill="1" applyBorder="1" applyAlignment="1" applyProtection="1">
      <alignment horizontal="center"/>
      <protection locked="0"/>
    </xf>
    <xf numFmtId="169" fontId="99" fillId="0" borderId="25" xfId="0" applyNumberFormat="1" applyFont="1" applyFill="1" applyBorder="1" applyAlignment="1" applyProtection="1">
      <alignment horizontal="center"/>
      <protection locked="0"/>
    </xf>
    <xf numFmtId="10" fontId="99" fillId="0" borderId="25" xfId="0" applyNumberFormat="1" applyFont="1" applyFill="1" applyBorder="1" applyAlignment="1">
      <alignment horizontal="center"/>
    </xf>
    <xf numFmtId="171" fontId="100" fillId="0" borderId="15" xfId="0" applyNumberFormat="1" applyFont="1" applyFill="1" applyBorder="1" applyAlignment="1" applyProtection="1">
      <alignment vertical="top" wrapText="1"/>
      <protection locked="0"/>
    </xf>
    <xf numFmtId="171" fontId="101" fillId="0" borderId="14" xfId="0" applyNumberFormat="1" applyFont="1" applyFill="1" applyBorder="1" applyAlignment="1" applyProtection="1">
      <alignment vertical="top" wrapText="1"/>
      <protection locked="0"/>
    </xf>
    <xf numFmtId="171" fontId="102" fillId="0" borderId="15" xfId="0" applyNumberFormat="1" applyFont="1" applyFill="1" applyBorder="1" applyAlignment="1">
      <alignment horizontal="left" vertical="top" wrapText="1"/>
    </xf>
    <xf numFmtId="4" fontId="103" fillId="0" borderId="0" xfId="0" applyNumberFormat="1" applyFont="1" applyAlignment="1">
      <alignment/>
    </xf>
    <xf numFmtId="4" fontId="98" fillId="0" borderId="25" xfId="0" applyNumberFormat="1" applyFont="1" applyFill="1" applyBorder="1" applyAlignment="1" applyProtection="1">
      <alignment/>
      <protection locked="0"/>
    </xf>
    <xf numFmtId="4" fontId="99" fillId="0" borderId="25" xfId="0" applyNumberFormat="1" applyFont="1" applyBorder="1" applyAlignment="1" applyProtection="1">
      <alignment/>
      <protection locked="0"/>
    </xf>
    <xf numFmtId="4" fontId="99" fillId="0" borderId="25" xfId="0" applyNumberFormat="1" applyFont="1" applyFill="1" applyBorder="1" applyAlignment="1" applyProtection="1">
      <alignment/>
      <protection locked="0"/>
    </xf>
    <xf numFmtId="4" fontId="99" fillId="35" borderId="25" xfId="0" applyNumberFormat="1" applyFont="1" applyFill="1" applyBorder="1" applyAlignment="1">
      <alignment/>
    </xf>
    <xf numFmtId="4" fontId="104" fillId="35" borderId="25" xfId="0" applyNumberFormat="1" applyFont="1" applyFill="1" applyBorder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Border="1" applyAlignment="1">
      <alignment horizontal="center"/>
    </xf>
    <xf numFmtId="0" fontId="108" fillId="0" borderId="0" xfId="0" applyFont="1" applyBorder="1" applyAlignment="1">
      <alignment/>
    </xf>
    <xf numFmtId="4" fontId="108" fillId="0" borderId="0" xfId="0" applyNumberFormat="1" applyFont="1" applyBorder="1" applyAlignment="1">
      <alignment/>
    </xf>
    <xf numFmtId="43" fontId="108" fillId="0" borderId="0" xfId="62" applyNumberFormat="1" applyFont="1" applyBorder="1" applyAlignment="1">
      <alignment/>
    </xf>
    <xf numFmtId="2" fontId="108" fillId="0" borderId="0" xfId="0" applyNumberFormat="1" applyFont="1" applyBorder="1" applyAlignment="1">
      <alignment/>
    </xf>
    <xf numFmtId="0" fontId="109" fillId="0" borderId="0" xfId="0" applyFont="1" applyFill="1" applyBorder="1" applyAlignment="1">
      <alignment horizontal="center"/>
    </xf>
    <xf numFmtId="4" fontId="109" fillId="0" borderId="0" xfId="0" applyNumberFormat="1" applyFont="1" applyBorder="1" applyAlignment="1">
      <alignment/>
    </xf>
    <xf numFmtId="43" fontId="109" fillId="0" borderId="0" xfId="0" applyNumberFormat="1" applyFont="1" applyBorder="1" applyAlignment="1">
      <alignment/>
    </xf>
    <xf numFmtId="171" fontId="21" fillId="0" borderId="25" xfId="62" applyFont="1" applyBorder="1" applyAlignment="1">
      <alignment/>
    </xf>
    <xf numFmtId="171" fontId="101" fillId="0" borderId="25" xfId="62" applyFont="1" applyBorder="1" applyAlignment="1">
      <alignment/>
    </xf>
    <xf numFmtId="4" fontId="108" fillId="0" borderId="0" xfId="0" applyNumberFormat="1" applyFont="1" applyBorder="1" applyAlignment="1">
      <alignment horizontal="right"/>
    </xf>
    <xf numFmtId="4" fontId="108" fillId="0" borderId="0" xfId="0" applyNumberFormat="1" applyFont="1" applyBorder="1" applyAlignment="1">
      <alignment/>
    </xf>
    <xf numFmtId="4" fontId="110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21" fillId="0" borderId="24" xfId="47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71" fontId="21" fillId="0" borderId="25" xfId="62" applyFont="1" applyBorder="1" applyAlignment="1">
      <alignment horizontal="right"/>
    </xf>
    <xf numFmtId="43" fontId="21" fillId="0" borderId="25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43" fontId="111" fillId="0" borderId="25" xfId="0" applyNumberFormat="1" applyFont="1" applyBorder="1" applyAlignment="1">
      <alignment/>
    </xf>
    <xf numFmtId="171" fontId="10" fillId="41" borderId="25" xfId="62" applyFont="1" applyFill="1" applyBorder="1" applyAlignment="1">
      <alignment/>
    </xf>
    <xf numFmtId="0" fontId="10" fillId="41" borderId="25" xfId="0" applyFont="1" applyFill="1" applyBorder="1" applyAlignment="1">
      <alignment/>
    </xf>
    <xf numFmtId="43" fontId="10" fillId="41" borderId="25" xfId="0" applyNumberFormat="1" applyFont="1" applyFill="1" applyBorder="1" applyAlignment="1">
      <alignment/>
    </xf>
    <xf numFmtId="171" fontId="112" fillId="0" borderId="25" xfId="62" applyFont="1" applyBorder="1" applyAlignment="1">
      <alignment/>
    </xf>
    <xf numFmtId="0" fontId="111" fillId="0" borderId="25" xfId="0" applyFont="1" applyBorder="1" applyAlignment="1">
      <alignment/>
    </xf>
    <xf numFmtId="10" fontId="111" fillId="0" borderId="25" xfId="0" applyNumberFormat="1" applyFont="1" applyBorder="1" applyAlignment="1">
      <alignment/>
    </xf>
    <xf numFmtId="0" fontId="21" fillId="0" borderId="22" xfId="0" applyFont="1" applyFill="1" applyBorder="1" applyAlignment="1">
      <alignment horizontal="center"/>
    </xf>
    <xf numFmtId="43" fontId="108" fillId="0" borderId="0" xfId="0" applyNumberFormat="1" applyFont="1" applyBorder="1" applyAlignment="1">
      <alignment/>
    </xf>
    <xf numFmtId="14" fontId="0" fillId="0" borderId="46" xfId="0" applyNumberFormat="1" applyFont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183" fontId="0" fillId="2" borderId="46" xfId="47" applyFont="1" applyFill="1" applyBorder="1" applyAlignment="1">
      <alignment horizontal="right" wrapText="1"/>
    </xf>
    <xf numFmtId="183" fontId="0" fillId="2" borderId="46" xfId="47" applyFont="1" applyFill="1" applyBorder="1" applyAlignment="1">
      <alignment horizontal="center" wrapText="1"/>
    </xf>
    <xf numFmtId="171" fontId="0" fillId="2" borderId="46" xfId="0" applyNumberFormat="1" applyFont="1" applyFill="1" applyBorder="1" applyAlignment="1">
      <alignment horizontal="right" wrapText="1"/>
    </xf>
    <xf numFmtId="8" fontId="0" fillId="0" borderId="46" xfId="0" applyNumberFormat="1" applyFont="1" applyBorder="1" applyAlignment="1">
      <alignment horizontal="center" wrapText="1"/>
    </xf>
    <xf numFmtId="0" fontId="0" fillId="2" borderId="46" xfId="0" applyFont="1" applyFill="1" applyBorder="1" applyAlignment="1">
      <alignment horizontal="right" wrapText="1"/>
    </xf>
    <xf numFmtId="200" fontId="0" fillId="0" borderId="46" xfId="0" applyNumberFormat="1" applyFont="1" applyBorder="1" applyAlignment="1">
      <alignment horizontal="right" wrapText="1"/>
    </xf>
    <xf numFmtId="171" fontId="101" fillId="0" borderId="15" xfId="0" applyNumberFormat="1" applyFont="1" applyFill="1" applyBorder="1" applyAlignment="1" applyProtection="1">
      <alignment vertical="top" wrapText="1"/>
      <protection locked="0"/>
    </xf>
    <xf numFmtId="0" fontId="17" fillId="0" borderId="55" xfId="0" applyFont="1" applyFill="1" applyBorder="1" applyAlignment="1">
      <alignment vertical="top" wrapText="1"/>
    </xf>
    <xf numFmtId="0" fontId="21" fillId="0" borderId="55" xfId="0" applyFont="1" applyFill="1" applyBorder="1" applyAlignment="1">
      <alignment vertical="top" wrapText="1"/>
    </xf>
    <xf numFmtId="167" fontId="21" fillId="0" borderId="55" xfId="0" applyNumberFormat="1" applyFont="1" applyFill="1" applyBorder="1" applyAlignment="1">
      <alignment horizontal="right" vertical="top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left" vertical="center" wrapText="1"/>
    </xf>
    <xf numFmtId="171" fontId="21" fillId="0" borderId="43" xfId="0" applyNumberFormat="1" applyFont="1" applyFill="1" applyBorder="1" applyAlignment="1">
      <alignment horizontal="right" vertical="center" wrapText="1"/>
    </xf>
    <xf numFmtId="0" fontId="21" fillId="0" borderId="59" xfId="0" applyFont="1" applyFill="1" applyBorder="1" applyAlignment="1">
      <alignment vertical="top" wrapText="1"/>
    </xf>
    <xf numFmtId="171" fontId="21" fillId="0" borderId="43" xfId="0" applyNumberFormat="1" applyFont="1" applyFill="1" applyBorder="1" applyAlignment="1">
      <alignment vertical="top" wrapText="1"/>
    </xf>
    <xf numFmtId="171" fontId="21" fillId="0" borderId="43" xfId="0" applyNumberFormat="1" applyFont="1" applyFill="1" applyBorder="1" applyAlignment="1" applyProtection="1">
      <alignment vertical="top" wrapText="1"/>
      <protection locked="0"/>
    </xf>
    <xf numFmtId="0" fontId="21" fillId="0" borderId="60" xfId="0" applyFont="1" applyFill="1" applyBorder="1" applyAlignment="1">
      <alignment vertical="top" wrapText="1"/>
    </xf>
    <xf numFmtId="171" fontId="21" fillId="0" borderId="61" xfId="0" applyNumberFormat="1" applyFont="1" applyFill="1" applyBorder="1" applyAlignment="1" applyProtection="1">
      <alignment vertical="top" wrapText="1"/>
      <protection locked="0"/>
    </xf>
    <xf numFmtId="171" fontId="21" fillId="0" borderId="61" xfId="0" applyNumberFormat="1" applyFont="1" applyFill="1" applyBorder="1" applyAlignment="1">
      <alignment vertical="top" wrapText="1"/>
    </xf>
    <xf numFmtId="0" fontId="21" fillId="0" borderId="43" xfId="0" applyFont="1" applyFill="1" applyBorder="1" applyAlignment="1" applyProtection="1">
      <alignment vertical="top" wrapText="1"/>
      <protection locked="0"/>
    </xf>
    <xf numFmtId="171" fontId="21" fillId="0" borderId="62" xfId="0" applyNumberFormat="1" applyFont="1" applyFill="1" applyBorder="1" applyAlignment="1">
      <alignment vertical="top" wrapText="1"/>
    </xf>
    <xf numFmtId="171" fontId="21" fillId="0" borderId="46" xfId="0" applyNumberFormat="1" applyFont="1" applyFill="1" applyBorder="1" applyAlignment="1">
      <alignment vertical="top" wrapText="1"/>
    </xf>
    <xf numFmtId="184" fontId="40" fillId="0" borderId="63" xfId="0" applyNumberFormat="1" applyFont="1" applyFill="1" applyBorder="1" applyAlignment="1">
      <alignment horizontal="center" vertical="center"/>
    </xf>
    <xf numFmtId="183" fontId="40" fillId="0" borderId="64" xfId="47" applyFont="1" applyFill="1" applyBorder="1" applyAlignment="1">
      <alignment horizontal="center" vertical="center"/>
    </xf>
    <xf numFmtId="184" fontId="40" fillId="0" borderId="25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171" fontId="40" fillId="0" borderId="25" xfId="0" applyNumberFormat="1" applyFont="1" applyFill="1" applyBorder="1" applyAlignment="1">
      <alignment/>
    </xf>
    <xf numFmtId="171" fontId="41" fillId="0" borderId="25" xfId="0" applyNumberFormat="1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71" fontId="42" fillId="0" borderId="25" xfId="0" applyNumberFormat="1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0" fontId="41" fillId="0" borderId="22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0" fillId="0" borderId="18" xfId="0" applyNumberFormat="1" applyFont="1" applyFill="1" applyBorder="1" applyAlignment="1" applyProtection="1">
      <alignment horizontal="center" vertical="center"/>
      <protection locked="0"/>
    </xf>
    <xf numFmtId="184" fontId="40" fillId="0" borderId="25" xfId="0" applyNumberFormat="1" applyFont="1" applyFill="1" applyBorder="1" applyAlignment="1" applyProtection="1">
      <alignment horizontal="center"/>
      <protection locked="0"/>
    </xf>
    <xf numFmtId="0" fontId="40" fillId="0" borderId="19" xfId="0" applyNumberFormat="1" applyFont="1" applyFill="1" applyBorder="1" applyAlignment="1" applyProtection="1">
      <alignment horizontal="center" vertical="center"/>
      <protection locked="0"/>
    </xf>
    <xf numFmtId="0" fontId="40" fillId="0" borderId="19" xfId="0" applyNumberFormat="1" applyFont="1" applyFill="1" applyBorder="1" applyAlignment="1" applyProtection="1">
      <alignment horizontal="left"/>
      <protection locked="0"/>
    </xf>
    <xf numFmtId="0" fontId="40" fillId="0" borderId="64" xfId="0" applyNumberFormat="1" applyFont="1" applyFill="1" applyBorder="1" applyAlignment="1" applyProtection="1">
      <alignment horizontal="left"/>
      <protection locked="0"/>
    </xf>
    <xf numFmtId="3" fontId="40" fillId="0" borderId="25" xfId="0" applyNumberFormat="1" applyFont="1" applyFill="1" applyBorder="1" applyAlignment="1" applyProtection="1">
      <alignment horizontal="right"/>
      <protection locked="0"/>
    </xf>
    <xf numFmtId="38" fontId="39" fillId="0" borderId="0" xfId="0" applyNumberFormat="1" applyFont="1" applyBorder="1" applyAlignment="1" applyProtection="1">
      <alignment/>
      <protection locked="0"/>
    </xf>
    <xf numFmtId="38" fontId="43" fillId="0" borderId="0" xfId="0" applyNumberFormat="1" applyFont="1" applyBorder="1" applyAlignment="1" applyProtection="1">
      <alignment horizontal="center"/>
      <protection locked="0"/>
    </xf>
    <xf numFmtId="38" fontId="44" fillId="0" borderId="0" xfId="0" applyNumberFormat="1" applyFont="1" applyBorder="1" applyAlignment="1" applyProtection="1">
      <alignment horizontal="left"/>
      <protection locked="0"/>
    </xf>
    <xf numFmtId="9" fontId="40" fillId="0" borderId="0" xfId="0" applyNumberFormat="1" applyFont="1" applyBorder="1" applyAlignment="1" applyProtection="1">
      <alignment horizontal="center"/>
      <protection locked="0"/>
    </xf>
    <xf numFmtId="38" fontId="113" fillId="42" borderId="0" xfId="0" applyNumberFormat="1" applyFont="1" applyFill="1" applyAlignment="1" applyProtection="1">
      <alignment/>
      <protection locked="0"/>
    </xf>
    <xf numFmtId="0" fontId="113" fillId="42" borderId="0" xfId="0" applyFont="1" applyFill="1" applyAlignment="1" applyProtection="1">
      <alignment/>
      <protection locked="0"/>
    </xf>
    <xf numFmtId="0" fontId="114" fillId="42" borderId="0" xfId="0" applyFont="1" applyFill="1" applyAlignment="1">
      <alignment/>
    </xf>
    <xf numFmtId="0" fontId="115" fillId="42" borderId="0" xfId="0" applyFont="1" applyFill="1" applyAlignment="1">
      <alignment/>
    </xf>
    <xf numFmtId="0" fontId="0" fillId="42" borderId="0" xfId="0" applyFill="1" applyAlignment="1">
      <alignment/>
    </xf>
    <xf numFmtId="0" fontId="11" fillId="42" borderId="0" xfId="0" applyFont="1" applyFill="1" applyAlignment="1">
      <alignment/>
    </xf>
    <xf numFmtId="0" fontId="12" fillId="42" borderId="0" xfId="0" applyFont="1" applyFill="1" applyAlignment="1">
      <alignment/>
    </xf>
    <xf numFmtId="38" fontId="4" fillId="42" borderId="0" xfId="0" applyNumberFormat="1" applyFont="1" applyFill="1" applyAlignment="1" applyProtection="1">
      <alignment/>
      <protection locked="0"/>
    </xf>
    <xf numFmtId="0" fontId="10" fillId="0" borderId="25" xfId="0" applyFont="1" applyFill="1" applyBorder="1" applyAlignment="1">
      <alignment horizontal="center" vertical="center" wrapText="1"/>
    </xf>
    <xf numFmtId="38" fontId="18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65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38" fontId="24" fillId="0" borderId="31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38" fontId="17" fillId="0" borderId="31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0" fillId="0" borderId="35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167" fontId="19" fillId="0" borderId="16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38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justify"/>
    </xf>
    <xf numFmtId="0" fontId="0" fillId="0" borderId="38" xfId="0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38" fontId="19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38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Fill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21" fillId="0" borderId="68" xfId="0" applyFont="1" applyFill="1" applyBorder="1" applyAlignment="1">
      <alignment vertical="top" wrapText="1"/>
    </xf>
    <xf numFmtId="0" fontId="21" fillId="0" borderId="41" xfId="0" applyFont="1" applyFill="1" applyBorder="1" applyAlignment="1">
      <alignment vertical="top" wrapText="1"/>
    </xf>
    <xf numFmtId="0" fontId="21" fillId="0" borderId="69" xfId="0" applyFont="1" applyFill="1" applyBorder="1" applyAlignment="1">
      <alignment vertical="top" wrapText="1"/>
    </xf>
    <xf numFmtId="0" fontId="21" fillId="0" borderId="70" xfId="0" applyFont="1" applyFill="1" applyBorder="1" applyAlignment="1">
      <alignment horizontal="left" vertical="top" wrapText="1"/>
    </xf>
    <xf numFmtId="0" fontId="21" fillId="0" borderId="71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0" fontId="21" fillId="0" borderId="7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38" fontId="21" fillId="0" borderId="31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left" vertical="top" wrapText="1"/>
    </xf>
    <xf numFmtId="0" fontId="20" fillId="0" borderId="34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31" fillId="0" borderId="3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38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19" fillId="0" borderId="41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1" fillId="0" borderId="35" xfId="0" applyFont="1" applyFill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/>
    </xf>
    <xf numFmtId="0" fontId="32" fillId="0" borderId="20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/>
    </xf>
    <xf numFmtId="43" fontId="0" fillId="0" borderId="21" xfId="0" applyNumberForma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right" vertical="top" wrapText="1"/>
    </xf>
    <xf numFmtId="43" fontId="0" fillId="0" borderId="14" xfId="0" applyNumberFormat="1" applyBorder="1" applyAlignment="1">
      <alignment horizontal="right" vertical="top" wrapText="1"/>
    </xf>
    <xf numFmtId="43" fontId="0" fillId="0" borderId="19" xfId="0" applyNumberFormat="1" applyBorder="1" applyAlignment="1">
      <alignment horizontal="center" vertical="center" wrapText="1"/>
    </xf>
    <xf numFmtId="43" fontId="0" fillId="0" borderId="15" xfId="0" applyNumberForma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20" xfId="0" applyNumberForma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right" vertical="top" wrapText="1"/>
    </xf>
    <xf numFmtId="43" fontId="0" fillId="0" borderId="20" xfId="0" applyNumberFormat="1" applyBorder="1" applyAlignment="1">
      <alignment horizontal="right" vertical="top" wrapText="1"/>
    </xf>
    <xf numFmtId="43" fontId="0" fillId="0" borderId="19" xfId="0" applyNumberFormat="1" applyFont="1" applyFill="1" applyBorder="1" applyAlignment="1">
      <alignment horizontal="right" vertical="top" wrapText="1"/>
    </xf>
    <xf numFmtId="43" fontId="0" fillId="0" borderId="15" xfId="0" applyNumberFormat="1" applyBorder="1" applyAlignment="1">
      <alignment horizontal="right" vertical="top" wrapText="1"/>
    </xf>
    <xf numFmtId="0" fontId="19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1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9" fillId="0" borderId="0" xfId="0" applyFont="1" applyBorder="1" applyAlignment="1">
      <alignment horizontal="justify" wrapText="1"/>
    </xf>
    <xf numFmtId="167" fontId="19" fillId="0" borderId="0" xfId="0" applyNumberFormat="1" applyFont="1" applyBorder="1" applyAlignment="1">
      <alignment horizontal="right" wrapText="1"/>
    </xf>
    <xf numFmtId="0" fontId="20" fillId="0" borderId="2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19" fillId="0" borderId="41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wrapText="1"/>
    </xf>
    <xf numFmtId="38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justify" wrapText="1"/>
    </xf>
    <xf numFmtId="0" fontId="24" fillId="0" borderId="75" xfId="0" applyFont="1" applyBorder="1" applyAlignment="1">
      <alignment horizontal="center" vertical="top" wrapText="1"/>
    </xf>
    <xf numFmtId="0" fontId="24" fillId="0" borderId="76" xfId="0" applyFont="1" applyBorder="1" applyAlignment="1">
      <alignment horizontal="center" vertical="top" wrapText="1"/>
    </xf>
    <xf numFmtId="0" fontId="25" fillId="39" borderId="77" xfId="0" applyFont="1" applyFill="1" applyBorder="1" applyAlignment="1">
      <alignment horizontal="center" vertical="top" wrapText="1"/>
    </xf>
    <xf numFmtId="0" fontId="25" fillId="39" borderId="78" xfId="0" applyFont="1" applyFill="1" applyBorder="1" applyAlignment="1">
      <alignment horizontal="center" vertical="top" wrapText="1"/>
    </xf>
    <xf numFmtId="0" fontId="25" fillId="39" borderId="79" xfId="0" applyFont="1" applyFill="1" applyBorder="1" applyAlignment="1">
      <alignment horizontal="center" vertical="top" wrapText="1"/>
    </xf>
    <xf numFmtId="0" fontId="25" fillId="0" borderId="80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47" xfId="0" applyBorder="1" applyAlignment="1">
      <alignment/>
    </xf>
    <xf numFmtId="0" fontId="25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25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25" fillId="39" borderId="75" xfId="0" applyFont="1" applyFill="1" applyBorder="1" applyAlignment="1">
      <alignment horizontal="center" vertical="top" wrapText="1"/>
    </xf>
    <xf numFmtId="0" fontId="25" fillId="39" borderId="82" xfId="0" applyFont="1" applyFill="1" applyBorder="1" applyAlignment="1">
      <alignment horizontal="center" vertical="top" wrapText="1"/>
    </xf>
    <xf numFmtId="0" fontId="25" fillId="39" borderId="76" xfId="0" applyFont="1" applyFill="1" applyBorder="1" applyAlignment="1">
      <alignment horizontal="center" vertical="top" wrapText="1"/>
    </xf>
    <xf numFmtId="0" fontId="25" fillId="39" borderId="75" xfId="0" applyFont="1" applyFill="1" applyBorder="1" applyAlignment="1">
      <alignment vertical="top" wrapText="1"/>
    </xf>
    <xf numFmtId="0" fontId="25" fillId="39" borderId="82" xfId="0" applyFont="1" applyFill="1" applyBorder="1" applyAlignment="1">
      <alignment vertical="top" wrapText="1"/>
    </xf>
    <xf numFmtId="0" fontId="25" fillId="39" borderId="76" xfId="0" applyFont="1" applyFill="1" applyBorder="1" applyAlignment="1">
      <alignment vertical="top" wrapText="1"/>
    </xf>
    <xf numFmtId="0" fontId="0" fillId="0" borderId="77" xfId="0" applyFont="1" applyBorder="1" applyAlignment="1">
      <alignment wrapText="1"/>
    </xf>
    <xf numFmtId="0" fontId="0" fillId="0" borderId="79" xfId="0" applyFont="1" applyBorder="1" applyAlignment="1">
      <alignment wrapText="1"/>
    </xf>
    <xf numFmtId="171" fontId="0" fillId="0" borderId="77" xfId="0" applyNumberFormat="1" applyFont="1" applyBorder="1" applyAlignment="1">
      <alignment horizontal="right" wrapText="1"/>
    </xf>
    <xf numFmtId="171" fontId="0" fillId="0" borderId="78" xfId="0" applyNumberFormat="1" applyFont="1" applyBorder="1" applyAlignment="1">
      <alignment horizontal="right" wrapText="1"/>
    </xf>
    <xf numFmtId="171" fontId="0" fillId="0" borderId="83" xfId="0" applyNumberFormat="1" applyFont="1" applyBorder="1" applyAlignment="1">
      <alignment horizontal="right" wrapText="1"/>
    </xf>
    <xf numFmtId="0" fontId="9" fillId="0" borderId="77" xfId="0" applyFont="1" applyBorder="1" applyAlignment="1">
      <alignment horizontal="center" wrapText="1"/>
    </xf>
    <xf numFmtId="0" fontId="9" fillId="0" borderId="78" xfId="0" applyFont="1" applyBorder="1" applyAlignment="1">
      <alignment horizontal="center" wrapText="1"/>
    </xf>
    <xf numFmtId="0" fontId="9" fillId="0" borderId="79" xfId="0" applyFont="1" applyBorder="1" applyAlignment="1">
      <alignment horizontal="center" wrapText="1"/>
    </xf>
    <xf numFmtId="0" fontId="0" fillId="2" borderId="77" xfId="0" applyFont="1" applyFill="1" applyBorder="1" applyAlignment="1">
      <alignment wrapText="1"/>
    </xf>
    <xf numFmtId="0" fontId="0" fillId="2" borderId="79" xfId="0" applyFont="1" applyFill="1" applyBorder="1" applyAlignment="1">
      <alignment wrapText="1"/>
    </xf>
    <xf numFmtId="171" fontId="0" fillId="2" borderId="77" xfId="0" applyNumberFormat="1" applyFont="1" applyFill="1" applyBorder="1" applyAlignment="1">
      <alignment horizontal="right" wrapText="1"/>
    </xf>
    <xf numFmtId="171" fontId="0" fillId="2" borderId="78" xfId="0" applyNumberFormat="1" applyFont="1" applyFill="1" applyBorder="1" applyAlignment="1">
      <alignment horizontal="right" wrapText="1"/>
    </xf>
    <xf numFmtId="171" fontId="0" fillId="2" borderId="83" xfId="0" applyNumberFormat="1" applyFont="1" applyFill="1" applyBorder="1" applyAlignment="1">
      <alignment horizontal="right" wrapText="1"/>
    </xf>
    <xf numFmtId="200" fontId="0" fillId="0" borderId="77" xfId="0" applyNumberFormat="1" applyFont="1" applyBorder="1" applyAlignment="1">
      <alignment horizontal="right" wrapText="1"/>
    </xf>
    <xf numFmtId="200" fontId="0" fillId="0" borderId="78" xfId="0" applyNumberFormat="1" applyFont="1" applyBorder="1" applyAlignment="1">
      <alignment horizontal="right" wrapText="1"/>
    </xf>
    <xf numFmtId="200" fontId="0" fillId="0" borderId="83" xfId="0" applyNumberFormat="1" applyFont="1" applyBorder="1" applyAlignment="1">
      <alignment horizontal="right" wrapText="1"/>
    </xf>
    <xf numFmtId="0" fontId="0" fillId="0" borderId="80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98" fillId="0" borderId="80" xfId="0" applyFont="1" applyBorder="1" applyAlignment="1">
      <alignment wrapText="1"/>
    </xf>
    <xf numFmtId="0" fontId="98" fillId="0" borderId="47" xfId="0" applyFont="1" applyBorder="1" applyAlignment="1">
      <alignment wrapText="1"/>
    </xf>
    <xf numFmtId="0" fontId="98" fillId="0" borderId="44" xfId="0" applyFont="1" applyBorder="1" applyAlignment="1">
      <alignment wrapText="1"/>
    </xf>
    <xf numFmtId="0" fontId="98" fillId="0" borderId="46" xfId="0" applyFont="1" applyBorder="1" applyAlignment="1">
      <alignment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98" fillId="0" borderId="77" xfId="0" applyFont="1" applyBorder="1" applyAlignment="1">
      <alignment wrapText="1"/>
    </xf>
    <xf numFmtId="0" fontId="98" fillId="0" borderId="79" xfId="0" applyFont="1" applyBorder="1" applyAlignment="1">
      <alignment wrapText="1"/>
    </xf>
    <xf numFmtId="171" fontId="0" fillId="0" borderId="77" xfId="0" applyNumberFormat="1" applyFont="1" applyBorder="1" applyAlignment="1">
      <alignment horizontal="center" wrapText="1"/>
    </xf>
    <xf numFmtId="171" fontId="0" fillId="0" borderId="78" xfId="0" applyNumberFormat="1" applyFont="1" applyBorder="1" applyAlignment="1">
      <alignment horizontal="center" wrapText="1"/>
    </xf>
    <xf numFmtId="171" fontId="0" fillId="0" borderId="83" xfId="0" applyNumberFormat="1" applyFont="1" applyBorder="1" applyAlignment="1">
      <alignment horizontal="center" wrapText="1"/>
    </xf>
    <xf numFmtId="0" fontId="103" fillId="0" borderId="75" xfId="0" applyFont="1" applyBorder="1" applyAlignment="1">
      <alignment horizontal="center" wrapText="1"/>
    </xf>
    <xf numFmtId="0" fontId="103" fillId="0" borderId="76" xfId="0" applyFont="1" applyBorder="1" applyAlignment="1">
      <alignment horizontal="center" wrapText="1"/>
    </xf>
    <xf numFmtId="0" fontId="9" fillId="0" borderId="8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103" fillId="0" borderId="80" xfId="0" applyFont="1" applyBorder="1" applyAlignment="1">
      <alignment horizontal="center" wrapText="1"/>
    </xf>
    <xf numFmtId="0" fontId="103" fillId="0" borderId="81" xfId="0" applyFont="1" applyBorder="1" applyAlignment="1">
      <alignment horizontal="center" wrapText="1"/>
    </xf>
    <xf numFmtId="0" fontId="103" fillId="0" borderId="47" xfId="0" applyFont="1" applyBorder="1" applyAlignment="1">
      <alignment horizontal="center" wrapText="1"/>
    </xf>
    <xf numFmtId="0" fontId="103" fillId="0" borderId="44" xfId="0" applyFont="1" applyBorder="1" applyAlignment="1">
      <alignment horizontal="center" wrapText="1"/>
    </xf>
    <xf numFmtId="0" fontId="103" fillId="0" borderId="45" xfId="0" applyFont="1" applyBorder="1" applyAlignment="1">
      <alignment horizontal="center" wrapText="1"/>
    </xf>
    <xf numFmtId="0" fontId="103" fillId="0" borderId="46" xfId="0" applyFont="1" applyBorder="1" applyAlignment="1">
      <alignment horizontal="center" wrapText="1"/>
    </xf>
    <xf numFmtId="0" fontId="9" fillId="0" borderId="80" xfId="0" applyFont="1" applyBorder="1" applyAlignment="1">
      <alignment wrapText="1"/>
    </xf>
    <xf numFmtId="0" fontId="0" fillId="0" borderId="81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9" fillId="0" borderId="8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114300</xdr:rowOff>
    </xdr:from>
    <xdr:to>
      <xdr:col>6</xdr:col>
      <xdr:colOff>485775</xdr:colOff>
      <xdr:row>36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342900" y="4476750"/>
          <a:ext cx="84677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 Nominal –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a diferença entre o saldo da dívida fiscal líquida em 31 de dezembro de determinado ano em relação ao apurado em 31 de dezembro do ano anterior.
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76</xdr:row>
      <xdr:rowOff>123825</xdr:rowOff>
    </xdr:from>
    <xdr:to>
      <xdr:col>7</xdr:col>
      <xdr:colOff>95250</xdr:colOff>
      <xdr:row>92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10982325"/>
          <a:ext cx="56292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°, § 2°, inciso IV, alínea “a”, da Lei de Responsabilidade Fiscal – LRF, o qual determina que o Anexo de Metas Fiscais conterá a avaliação da situação financeira e atuarial do Regime Próprio de Previdência dos Servidores – RPPS.
Os dados acima apresentados tem como base o Anexo V – Demonstrativo das Receitas e Despesas Previdenciárias do Regime Próprio de Previdência dos Servidores, publicado no Relatório Resumido de Execução Orçamentária – RREO do último bimestre dos exercícios financeiros de 2014, 2015 e 2016, respectivamente.
Já os resultados da avaliação atuarial foram apresentados conforme o Anexo XIII – Demonstrativo da Projeção Atuarial do Regime Próprio dos Servidores, publicado no RREO do último bimestre dos exercícios de 2016. 
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152400</xdr:rowOff>
    </xdr:from>
    <xdr:to>
      <xdr:col>5</xdr:col>
      <xdr:colOff>742950</xdr:colOff>
      <xdr:row>37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4133850"/>
          <a:ext cx="5791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Conforme os arts. 13, 53 e 55 do Projeto de Lei das Diretrizes Orçamentárias, a estimativa de renúncia de receita deverá estar inserida na metodologia de cálculo da projeção da arrecadação efetiva dos tributos municipais. 
Dessa forma, fica observado o atendimento do disposto no art. 14, I, da LRF, o qual determina que a renúncia deve ser considerada na estimativa de receita da lei orçamentária e de que não afetará as metas de resultados fiscais. 
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104775</xdr:rowOff>
    </xdr:from>
    <xdr:to>
      <xdr:col>1</xdr:col>
      <xdr:colOff>2876550</xdr:colOff>
      <xdr:row>45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52400" y="4505325"/>
          <a:ext cx="58197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Desse modo, para estimar o aumento permanente das receitas em 2018 considerou-se o incremento real, ou seja, a diferença entre os valores estimados a preços constantes das receitas  trbutárias e de transferências correntes, no biênio 2018-2019.
Na mesma linha, o aumento permandente das despesas de caráter obrigatório que terão impacto em 2018, foi calculado pela diferença a valores constantes, observada no biênio 2018-2019 nos grupos de natureza de despesa "Pessoal" e "Outras Despesas Correntes", chegando-se, assim, ao saldo da margem líquida de expansão.
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142875</xdr:rowOff>
    </xdr:from>
    <xdr:to>
      <xdr:col>1</xdr:col>
      <xdr:colOff>2657475</xdr:colOff>
      <xdr:row>26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2425" y="3324225"/>
          <a:ext cx="5038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Declaramos para os devidos fins, que a expansão das despesas obrigatórias de caráter continuado, no exercício financeiro de 2018, adequar-se-ão às receitas do Município.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123825</xdr:rowOff>
    </xdr:from>
    <xdr:to>
      <xdr:col>3</xdr:col>
      <xdr:colOff>790575</xdr:colOff>
      <xdr:row>33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114300" y="4457700"/>
          <a:ext cx="67722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3º da LRF.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38100</xdr:rowOff>
    </xdr:from>
    <xdr:to>
      <xdr:col>6</xdr:col>
      <xdr:colOff>971550</xdr:colOff>
      <xdr:row>25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200025" y="3190875"/>
          <a:ext cx="9467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fontes de receitas e/ou grupo de natureza de despesa, conforme especificações das tabelas a seguir:</a:t>
          </a:r>
        </a:p>
      </xdr:txBody>
    </xdr:sp>
    <xdr:clientData/>
  </xdr:twoCellAnchor>
  <xdr:twoCellAnchor>
    <xdr:from>
      <xdr:col>0</xdr:col>
      <xdr:colOff>1771650</xdr:colOff>
      <xdr:row>25</xdr:row>
      <xdr:rowOff>571500</xdr:rowOff>
    </xdr:from>
    <xdr:to>
      <xdr:col>5</xdr:col>
      <xdr:colOff>971550</xdr:colOff>
      <xdr:row>47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76675"/>
          <a:ext cx="68389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1657350</xdr:colOff>
      <xdr:row>48</xdr:row>
      <xdr:rowOff>142875</xdr:rowOff>
    </xdr:from>
    <xdr:to>
      <xdr:col>6</xdr:col>
      <xdr:colOff>342900</xdr:colOff>
      <xdr:row>63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543800"/>
          <a:ext cx="73818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42</xdr:row>
      <xdr:rowOff>142875</xdr:rowOff>
    </xdr:from>
    <xdr:to>
      <xdr:col>6</xdr:col>
      <xdr:colOff>314325</xdr:colOff>
      <xdr:row>42</xdr:row>
      <xdr:rowOff>142875</xdr:rowOff>
    </xdr:to>
    <xdr:sp>
      <xdr:nvSpPr>
        <xdr:cNvPr id="4" name="Line 6"/>
        <xdr:cNvSpPr>
          <a:spLocks/>
        </xdr:cNvSpPr>
      </xdr:nvSpPr>
      <xdr:spPr>
        <a:xfrm>
          <a:off x="1971675" y="662940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44</xdr:row>
      <xdr:rowOff>19050</xdr:rowOff>
    </xdr:from>
    <xdr:to>
      <xdr:col>6</xdr:col>
      <xdr:colOff>381000</xdr:colOff>
      <xdr:row>57</xdr:row>
      <xdr:rowOff>85725</xdr:rowOff>
    </xdr:to>
    <xdr:sp>
      <xdr:nvSpPr>
        <xdr:cNvPr id="5" name="Line 8"/>
        <xdr:cNvSpPr>
          <a:spLocks/>
        </xdr:cNvSpPr>
      </xdr:nvSpPr>
      <xdr:spPr>
        <a:xfrm flipH="1">
          <a:off x="9067800" y="6810375"/>
          <a:ext cx="95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9</xdr:col>
      <xdr:colOff>428625</xdr:colOff>
      <xdr:row>78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19075" y="4543425"/>
          <a:ext cx="9420225" cy="874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Demonstrartivo de Metas Anuais  objetiva estabelecer as metas para o triênio conpreendendo o ano de vigência da LDO e os dois subseqüentes,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1º da LRF.
Para melhor entendimento, cabem aqui os seguintes conceitos:
1 -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ativos;
2 – as despesas primárias correspondem ao total da despesa orçamentária deduzidas as despesas com juros e amortização da dívida, aquisição de títulos de capital integralizado e as despesas com concessão de empréstimos com retorno garantido. 
3 – o resultado primário corresponde à diferença entre as receitas primárias e despesas primárias evidenciando o esforço fiscal do Município;
4 – o resultado nominal representa a diferença entre o saldo previsto da dívida fiscal líquida em 31 de dezembro de determinado ano em relação ao apurado em 31 de dezembro do ano anterior;
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6 – a dívida Consolidada Líquida – DCL - corresponde à dívida pública consolidada, deduzidos os valores que compreendem o ativo disponível e os haveres financeiros, líquidos dos Restos a Pagar Processados;
PREMISSAS E METODOLOGIA UTILIZADA
1 -  Os parâmetros macroeconômicos utilizados na elaboração das estimativas constantes no Anexo de Metas Fiscais são relacionados na Tabela 01.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(2014, 2015 e 2016) e os valores reestimados para o exercício atua (2017)l, além das premissas consideradas como verdadeiras e relacionadas, por exemplo, ao índice de inflação, crescimento do PIB, atualização da planta de valores do IPTU, ampliação do perímetro urbano da cidade, políticas de combate à evasão e à sonegação fiscal, crescimento real das receitas oriundas de tansferências da União e do Estado, dentre outros.
2 - Em relação às despesas correntes, foram considerados os parâmetros de inflação, e crescimento real, quando cabível, das despesas com pessoal e demais custeios.  Em relação aos investimentos, além da inflação, considerou-se a estimativa de crescimento real dessas despesas em nível que viabilize a sua expansão a fim de garantir, precipuamente, a conclusão dos projetos em andamento demonstrados no Anexo IV.  Asseguraram-se, ainda, os recursos para pagamento das obrigações decorrentes de juros e amortização da dívida pública.
3 – No tocante às despesas com pessoal, em específico,  foi considerado o efeito da revisão geral anual prevista na Constituição da República, o crescimento vegetativo da folha salarial e eventual aumento acima dos níveis inflacionários.
4 - Considera-se o PIB e o IPCA como as principais variáveis para explicar o crescimento nominal das receitas, visto que boa parte das receitas tributárias e não tributárias, bem como as transferências constitutionais e legais acompanham o ritmo das atividades econômicas de âmbito nacional. Assim, para os exercícios de 2018, 2019 e 2020, considerou-se um crescimento do Produto Interno Bruto nacional de  2,51  %, 2,59% e 2,5,54% e das taxas de inflação (IPCA), de 6,00 %, 4,50% e          4,50%, respectivamente, cujas projeções decorrem do sistema de expectativa de mercado, segundo informações do sítio do Banco Central do Brasil, verificadas em    01/09/2017. 
5 - Outro ponto importante a ser destacado é que a receita do Município, conforme estabelece o § 3º, do art. 1º da Lei Complementar nº 101/00, compreende as receitas de todos os órgãos da Administração Pública Municipal, inclusive as receitas intraorçamentárias.
6 - Em relação ao cálculo do Resultado Primário e do Resultado Nominal, considerou a metodologia estabelecida na Portaria STN nº 553/2014. Os resultados primários previstos para os três exercícios são considerados suficientes para manutenção do equilíbrio fiscal. O resultado nominal reflete a variação do endividamento fiscal líquido entre as datas referidas.
7 - Na estimativa do montante da dívida consolidada, utilizou-se, como parâmetros a previsão de taxa de juros SELIC, segundo informações do sítio do Banco Central do Brasil, verificadas em    01/09/2017.  
8 - Já na apuração do montante da dívida líquida, os valores das Disponibilidades Financeiras foram calculadas levando-se em consideração a estimativa da posição em 31/12/2016, projetando-se os valores futuros com base nos percentuais médios dos valores realizados no ano anterior.
9 - Isso posto, podemos elencar, a partir da leitura das projeções estabelecidas, os números mais representativos no contexto das projeções:
9.1 - A receita total estimada para o exercício de 2018 consideradas todas as fontes de recursos é de R$ 21.092.039,40, a preços correntes que, deduzidas das receitas financeiras, representadas pelos Rendimentos das Aplicações Financeiras (R$110.564,36), das resultantes de Operações de Crédito (R$0,00), das Alienações de Bens (R$11.626,68) e das resultantes de Amortização de Empréstimos Concedidos (R$0,00), resultam numa Receita Primária de R$ 20.969.848,00. 
9.2 -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R$ 21.092.039,40. Deduzindo-se as despesas financeiras com juros e encargos da dívida, estimadas em R$ 0,00, mais as despesas com Concessão de Empréstimos e Financiamentos, no valor de R$ 0,00 e a Amortização da Dívida Publica, estimada em R$ 334.943,69, tem-se que as despesas primárias para 2018 foram previstas em R$ 20.759.870,87.
9.3 - Cotejando-se o valor previsto para as receitas e despesas primárias em valores correntes, chega-se à meta de resultado primário de 2018 que foi inicialmente prevista em R$  212.753,00 a qual entendemos como necessária e suficiente para preservar o equilíbrio nas contas públicas. No entanto, na Lei Orçamentária Anual, a meta poderá ser alterada pela  para mais ou para menos, conforme expressa previsão do art. 2º, § 1º, da LDO.
10 - Em relação ao estoque da dívida, esse corresponde à posição em dezembro de cada exercício, considerando a previsão das amortizações e das liberações a serem realizadas no respectivo período, estando os valores evidenciados na  Tabela 02.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00025" y="3362325"/>
          <a:ext cx="88868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00025" y="3457575"/>
          <a:ext cx="94011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Os valor acima identificados, representam as metas de receitas, despesas e resultado primário do Tesouro Municipal  (Excetuadas as receitas e despesas previdenciárias).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metodologia e os conceitos são idênticos aos utilizados para a elaboração do anexo de metas fiscais consolidado.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152400</xdr:rowOff>
    </xdr:from>
    <xdr:to>
      <xdr:col>6</xdr:col>
      <xdr:colOff>866775</xdr:colOff>
      <xdr:row>52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5725" y="3876675"/>
          <a:ext cx="7191375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objetivo deste demonstrativo é estabelecer uma comparação entre as metas fixadas e o resultado obtido no exercício anterior ao da edição da LDO (2018), incluindo análise dos fatores determinantes para o alcance ou não dos valores estabelecidos como metas, visando a atender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 da LRF.
Assim, conforme demonstrado em audiência pública de avaliação das metas fiscais relativas ao terceiro quadrimestre do exercício financeiro de 2016 (art. 9º, § 4º da LRF), o resultado primário, principal indicador de sustentabilidade fiscal do setor público, ficou em R$ 1.609.060,00, valor  419,05%  superior à meta estabelecida, que era de R$ 310.000,00. O desempenho verificado demonstra que o ingresso das receitas primárias (não financeiras)  foi capaz de suportar o total das despesas primárias (não financeiras) do exercício. Quadro esse podendo ser explicado pelo superavit financeiro dos anos de 2014 e 2015, criando assim, volume de recursos financeiros em caixa que vieram a ser utilizados no exercício 2016. 
As receitas não financeiras totalizaram R$ 18.142.983,  superando em 4,30% a projeção para o período de R$   17.395.414. As despesas não financeiras atingiram R$ 16.085.414,  estabelecendo-se  - 3,27%   abaixo  da previsão orçamentária. atualizada. O superávit entre receita e despesa, não financeiras, manteve o equilibrio fiscal, visto que  o ativo financeiro de curto prazo no início do exercício 2016 possibilitava efetuar o quadro acima descrito.
Em parte , esse resultado é em decorrência do desempenho  favorável apresentado pela receita, tendo sido fortemente condicionado pelo comportamento das receitas correntes, que apresentaram um incremento de  4,00% em relação ao valor consignado no orçamento. Destaca-se no exercício de 2016 a performance dos grupos de receita tributária, patrimonial e de transferências correntes, que superaram a expectativa.
A dívida consolidada totalizou R$ 5.988,10, inferior ao saldo de R$ 9.703,36 estimado  para o exercício. Tal comportamento é reflexo do aumento dos desembolsos  da amortização da dívida que totalizou em 2016 R$  190.709,87, valor 79,50% menor que a projeção consignada na Lei do Orçamento de R$ 240.000,00. 
No anexo de metas fiscais, que acompanhou a LDO para 2016 estipulou-se o montante da dívida fiscal líquida em R$ (1.857.369,82). Contudo, os resultados efetivamente apurados e especificados no Relatório Resumido de Execução Orçamentária, e avaliados ao final daquele exercício apontam que o estoque da dívida, atualizado em dezembro de 2016, era de R$ (1.368.342,91) que, comparado com o montante apurado ao final de 2015, apresenta um resultado nominal de R$ (380.770,08),  que ficou acima da previsão inicial, que era de R$ (1.857.369,82).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29250"/>
          <a:ext cx="101060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(2018), em comparação com as estabelecidas para os três exercícios anteriores  (2015, 2016 e 2017), bem como para os dois seguintes (2019 e 2020),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II, da LRF.
Os valores relativos às previsões de Receitas, Despesas e Resultado Primário de 2013, 2014 e 2015 foram extraídos das respectivas Leis Orçamentárias Anuais. Já os valores da previsão do Resultado Nominal, Dívida Consolidada e Dívida Consolidada Líquida, foram extraídos dos respectivos anexos de metas fiscais.
Já em relação às previsões para os exercícios de 2016, 2017 e 2018,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39</xdr:row>
      <xdr:rowOff>114300</xdr:rowOff>
    </xdr:from>
    <xdr:to>
      <xdr:col>7</xdr:col>
      <xdr:colOff>19050</xdr:colOff>
      <xdr:row>59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323850" y="7972425"/>
          <a:ext cx="6800850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30</xdr:row>
      <xdr:rowOff>85725</xdr:rowOff>
    </xdr:from>
    <xdr:to>
      <xdr:col>3</xdr:col>
      <xdr:colOff>990600</xdr:colOff>
      <xdr:row>36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33350" y="5915025"/>
          <a:ext cx="67151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(2014,  2015 e 2016).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F67"/>
  <sheetViews>
    <sheetView tabSelected="1" view="pageBreakPreview" zoomScale="90" zoomScaleNormal="75" zoomScaleSheetLayoutView="90" zoomScalePageLayoutView="0" workbookViewId="0" topLeftCell="A1">
      <selection activeCell="H31" sqref="H31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24" customWidth="1"/>
    <col min="4" max="5" width="21.421875" style="24" customWidth="1"/>
    <col min="6" max="6" width="18.140625" style="24" customWidth="1"/>
    <col min="7" max="7" width="19.7109375" style="0" customWidth="1"/>
    <col min="8" max="8" width="19.421875" style="0" customWidth="1"/>
  </cols>
  <sheetData>
    <row r="1" spans="1:6" s="28" customFormat="1" ht="33.75" customHeight="1">
      <c r="A1" s="28" t="s">
        <v>94</v>
      </c>
      <c r="B1" s="28" t="s">
        <v>95</v>
      </c>
      <c r="C1" s="29">
        <v>2014</v>
      </c>
      <c r="D1" s="29">
        <v>2015</v>
      </c>
      <c r="E1" s="29">
        <v>2016</v>
      </c>
      <c r="F1" s="29">
        <v>2017</v>
      </c>
    </row>
    <row r="2" spans="3:6" s="43" customFormat="1" ht="18" customHeight="1">
      <c r="C2" s="44" t="s">
        <v>192</v>
      </c>
      <c r="D2" s="44" t="s">
        <v>192</v>
      </c>
      <c r="E2" s="44" t="s">
        <v>192</v>
      </c>
      <c r="F2" s="44" t="s">
        <v>193</v>
      </c>
    </row>
    <row r="3" spans="1:6" s="23" customFormat="1" ht="12.75">
      <c r="A3" s="48" t="s">
        <v>50</v>
      </c>
      <c r="B3" s="49" t="s">
        <v>2</v>
      </c>
      <c r="C3" s="61">
        <f>C4+C5+C8+C13+C14+C15+C16+C17</f>
        <v>18930238.85</v>
      </c>
      <c r="D3" s="61">
        <f>D4+D5+D8+D13+D14+D15+D16+D17</f>
        <v>20015226.96</v>
      </c>
      <c r="E3" s="61">
        <f>E4+E5+E8+E13+E14+E15+E16+E17</f>
        <v>20947403.79</v>
      </c>
      <c r="F3" s="61">
        <f>F4+F5+F8+F13+F14+F15+F16+F17</f>
        <v>22585636</v>
      </c>
    </row>
    <row r="4" spans="1:6" s="23" customFormat="1" ht="12.75">
      <c r="A4" s="52" t="s">
        <v>51</v>
      </c>
      <c r="B4" s="53" t="s">
        <v>52</v>
      </c>
      <c r="C4" s="145">
        <v>859920.58</v>
      </c>
      <c r="D4" s="145">
        <v>995747.33</v>
      </c>
      <c r="E4" s="145">
        <v>759923.39</v>
      </c>
      <c r="F4" s="350">
        <v>810274</v>
      </c>
    </row>
    <row r="5" spans="1:6" s="23" customFormat="1" ht="12.75">
      <c r="A5" s="52" t="s">
        <v>53</v>
      </c>
      <c r="B5" s="53" t="s">
        <v>54</v>
      </c>
      <c r="C5" s="105">
        <f>C6+C7</f>
        <v>25516.54</v>
      </c>
      <c r="D5" s="105">
        <f>D6+D7</f>
        <v>34397.73</v>
      </c>
      <c r="E5" s="105">
        <f>E6+E7</f>
        <v>40487.21</v>
      </c>
      <c r="F5" s="352">
        <f>F6+F7</f>
        <v>43321</v>
      </c>
    </row>
    <row r="6" spans="1:6" s="23" customFormat="1" ht="12.75">
      <c r="A6" s="52" t="s">
        <v>53</v>
      </c>
      <c r="B6" s="53" t="s">
        <v>222</v>
      </c>
      <c r="C6" s="145">
        <v>25516.54</v>
      </c>
      <c r="D6" s="145">
        <v>34397.73</v>
      </c>
      <c r="E6" s="145">
        <v>40487.21</v>
      </c>
      <c r="F6" s="350">
        <v>43321</v>
      </c>
    </row>
    <row r="7" spans="1:6" s="23" customFormat="1" ht="12.75">
      <c r="A7" s="52" t="s">
        <v>223</v>
      </c>
      <c r="B7" s="309" t="s">
        <v>372</v>
      </c>
      <c r="C7" s="145"/>
      <c r="D7" s="145"/>
      <c r="E7" s="145"/>
      <c r="F7" s="350"/>
    </row>
    <row r="8" spans="1:6" s="23" customFormat="1" ht="12.75">
      <c r="A8" s="52" t="s">
        <v>55</v>
      </c>
      <c r="B8" s="53" t="s">
        <v>3</v>
      </c>
      <c r="C8" s="61">
        <f>C9+C12</f>
        <v>123570.86</v>
      </c>
      <c r="D8" s="61">
        <f>D9+D12</f>
        <v>102748.22</v>
      </c>
      <c r="E8" s="61">
        <f>E9+E12</f>
        <v>96206.06</v>
      </c>
      <c r="F8" s="353">
        <f>F9+F12</f>
        <v>104306</v>
      </c>
    </row>
    <row r="9" spans="1:6" ht="12.75">
      <c r="A9" s="52" t="s">
        <v>56</v>
      </c>
      <c r="B9" s="53" t="s">
        <v>188</v>
      </c>
      <c r="C9" s="105">
        <f>C10+C11</f>
        <v>123570.86</v>
      </c>
      <c r="D9" s="105">
        <f>D10+D11</f>
        <v>102748.22</v>
      </c>
      <c r="E9" s="105">
        <f>E10+E11</f>
        <v>96206.06</v>
      </c>
      <c r="F9" s="352">
        <f>F10+F11</f>
        <v>104306</v>
      </c>
    </row>
    <row r="10" spans="1:6" ht="12.75">
      <c r="A10" s="52" t="s">
        <v>56</v>
      </c>
      <c r="B10" s="53" t="s">
        <v>224</v>
      </c>
      <c r="C10" s="145">
        <v>123570.86</v>
      </c>
      <c r="D10" s="145">
        <v>102748.22</v>
      </c>
      <c r="E10" s="145">
        <v>96206.06</v>
      </c>
      <c r="F10" s="350">
        <v>104306</v>
      </c>
    </row>
    <row r="11" spans="1:6" ht="12.75">
      <c r="A11" s="52" t="s">
        <v>56</v>
      </c>
      <c r="B11" s="309" t="s">
        <v>373</v>
      </c>
      <c r="C11" s="145"/>
      <c r="D11" s="145"/>
      <c r="E11" s="145"/>
      <c r="F11" s="350"/>
    </row>
    <row r="12" spans="1:6" ht="12.75">
      <c r="A12" s="52" t="s">
        <v>57</v>
      </c>
      <c r="B12" s="53" t="s">
        <v>58</v>
      </c>
      <c r="C12" s="145"/>
      <c r="D12" s="145"/>
      <c r="E12" s="145"/>
      <c r="F12" s="350"/>
    </row>
    <row r="13" spans="1:6" ht="12.75">
      <c r="A13" s="52" t="s">
        <v>59</v>
      </c>
      <c r="B13" s="53" t="s">
        <v>60</v>
      </c>
      <c r="C13" s="145"/>
      <c r="D13" s="145"/>
      <c r="E13" s="145"/>
      <c r="F13" s="350"/>
    </row>
    <row r="14" spans="1:6" ht="12.75">
      <c r="A14" s="52" t="s">
        <v>61</v>
      </c>
      <c r="B14" s="53" t="s">
        <v>4</v>
      </c>
      <c r="C14" s="145"/>
      <c r="D14" s="145"/>
      <c r="E14" s="145"/>
      <c r="F14" s="350"/>
    </row>
    <row r="15" spans="1:6" ht="12.75">
      <c r="A15" s="52" t="s">
        <v>62</v>
      </c>
      <c r="B15" s="53" t="s">
        <v>63</v>
      </c>
      <c r="C15" s="145"/>
      <c r="D15" s="145"/>
      <c r="E15" s="145"/>
      <c r="F15" s="350"/>
    </row>
    <row r="16" spans="1:6" s="23" customFormat="1" ht="12.75">
      <c r="A16" s="52" t="s">
        <v>64</v>
      </c>
      <c r="B16" s="53" t="s">
        <v>65</v>
      </c>
      <c r="C16" s="145">
        <v>17669744.16</v>
      </c>
      <c r="D16" s="145">
        <v>18135584.23</v>
      </c>
      <c r="E16" s="145">
        <v>19266506.13</v>
      </c>
      <c r="F16" s="350">
        <v>20788464</v>
      </c>
    </row>
    <row r="17" spans="1:6" s="23" customFormat="1" ht="12.75">
      <c r="A17" s="52" t="s">
        <v>66</v>
      </c>
      <c r="B17" s="53" t="s">
        <v>5</v>
      </c>
      <c r="C17" s="105">
        <f>C18+C19</f>
        <v>251486.71</v>
      </c>
      <c r="D17" s="105">
        <f>D18+D19</f>
        <v>746749.45</v>
      </c>
      <c r="E17" s="105">
        <f>E18+E19</f>
        <v>784281</v>
      </c>
      <c r="F17" s="352">
        <f>F18+F19</f>
        <v>839271</v>
      </c>
    </row>
    <row r="18" spans="1:6" s="23" customFormat="1" ht="12.75">
      <c r="A18" s="52" t="s">
        <v>66</v>
      </c>
      <c r="B18" s="53" t="s">
        <v>225</v>
      </c>
      <c r="C18" s="145">
        <v>251486.71</v>
      </c>
      <c r="D18" s="145">
        <v>746749.45</v>
      </c>
      <c r="E18" s="145">
        <v>784281</v>
      </c>
      <c r="F18" s="350">
        <v>839271</v>
      </c>
    </row>
    <row r="19" spans="1:6" s="23" customFormat="1" ht="12.75">
      <c r="A19" s="52" t="s">
        <v>66</v>
      </c>
      <c r="B19" s="309" t="s">
        <v>374</v>
      </c>
      <c r="C19" s="145"/>
      <c r="D19" s="145"/>
      <c r="E19" s="145"/>
      <c r="F19" s="350"/>
    </row>
    <row r="20" spans="1:6" s="23" customFormat="1" ht="12.75">
      <c r="A20" s="50" t="s">
        <v>67</v>
      </c>
      <c r="B20" s="51" t="s">
        <v>68</v>
      </c>
      <c r="C20" s="61">
        <f>C21+C22+C23+C24+C25</f>
        <v>11116.31</v>
      </c>
      <c r="D20" s="61">
        <f>D21+D22+D23+D24+D25</f>
        <v>316214.2</v>
      </c>
      <c r="E20" s="61">
        <f>E21+E22+E23+E24+E25</f>
        <v>140000</v>
      </c>
      <c r="F20" s="353">
        <f>F21+F22+F23+F24+F25</f>
        <v>10700</v>
      </c>
    </row>
    <row r="21" spans="1:6" s="23" customFormat="1" ht="12.75">
      <c r="A21" s="52" t="s">
        <v>69</v>
      </c>
      <c r="B21" s="53" t="s">
        <v>70</v>
      </c>
      <c r="C21" s="145"/>
      <c r="D21" s="145">
        <v>307199.7</v>
      </c>
      <c r="E21" s="145">
        <v>130000</v>
      </c>
      <c r="F21" s="350">
        <v>0</v>
      </c>
    </row>
    <row r="22" spans="1:6" s="23" customFormat="1" ht="12.75">
      <c r="A22" s="52" t="s">
        <v>71</v>
      </c>
      <c r="B22" s="53" t="s">
        <v>72</v>
      </c>
      <c r="C22" s="145">
        <v>11116.31</v>
      </c>
      <c r="D22" s="145">
        <v>9014.5</v>
      </c>
      <c r="E22" s="145">
        <v>10000</v>
      </c>
      <c r="F22" s="350">
        <v>10700</v>
      </c>
    </row>
    <row r="23" spans="1:6" ht="12.75">
      <c r="A23" s="52" t="s">
        <v>73</v>
      </c>
      <c r="B23" s="53" t="s">
        <v>74</v>
      </c>
      <c r="C23" s="145"/>
      <c r="D23" s="145"/>
      <c r="E23" s="145"/>
      <c r="F23" s="350"/>
    </row>
    <row r="24" spans="1:6" s="23" customFormat="1" ht="12.75">
      <c r="A24" s="52" t="s">
        <v>75</v>
      </c>
      <c r="B24" s="53" t="s">
        <v>76</v>
      </c>
      <c r="C24" s="145"/>
      <c r="D24" s="145"/>
      <c r="E24" s="145"/>
      <c r="F24" s="350"/>
    </row>
    <row r="25" spans="1:6" ht="12.75">
      <c r="A25" s="52" t="s">
        <v>77</v>
      </c>
      <c r="B25" s="53" t="s">
        <v>6</v>
      </c>
      <c r="C25" s="145"/>
      <c r="D25" s="145"/>
      <c r="E25" s="341"/>
      <c r="F25" s="350"/>
    </row>
    <row r="26" spans="1:6" ht="12.75">
      <c r="A26" s="52" t="s">
        <v>226</v>
      </c>
      <c r="B26" s="309" t="s">
        <v>375</v>
      </c>
      <c r="C26" s="145"/>
      <c r="D26" s="145"/>
      <c r="E26" s="145"/>
      <c r="F26" s="350"/>
    </row>
    <row r="27" spans="1:6" ht="12.75">
      <c r="A27" s="52" t="s">
        <v>293</v>
      </c>
      <c r="B27" s="51" t="s">
        <v>200</v>
      </c>
      <c r="C27" s="145">
        <v>-2517287.54</v>
      </c>
      <c r="D27" s="145">
        <v>-2639597.16</v>
      </c>
      <c r="E27" s="145">
        <v>-2708214.36</v>
      </c>
      <c r="F27" s="350">
        <v>-3129948</v>
      </c>
    </row>
    <row r="28" spans="1:6" ht="12.75">
      <c r="A28" s="52"/>
      <c r="B28" s="53"/>
      <c r="C28" s="145"/>
      <c r="D28" s="145"/>
      <c r="E28" s="145"/>
      <c r="F28" s="341"/>
    </row>
    <row r="29" spans="1:6" s="23" customFormat="1" ht="12.75">
      <c r="A29" s="55"/>
      <c r="B29" s="54" t="s">
        <v>78</v>
      </c>
      <c r="C29" s="61">
        <f>C3+C20+C26+C27</f>
        <v>16424067.620000001</v>
      </c>
      <c r="D29" s="61">
        <f>D3+D20+D26+D27</f>
        <v>17691844</v>
      </c>
      <c r="E29" s="61">
        <f>E3+E20+E26+E27</f>
        <v>18379189.43</v>
      </c>
      <c r="F29" s="61">
        <f>F3+F20+F26+F27</f>
        <v>19466388</v>
      </c>
    </row>
    <row r="30" spans="3:5" ht="12.75">
      <c r="C30" s="348"/>
      <c r="D30" s="348"/>
      <c r="E30" s="348"/>
    </row>
    <row r="31" spans="1:6" s="28" customFormat="1" ht="33.75" customHeight="1">
      <c r="A31" s="28" t="s">
        <v>94</v>
      </c>
      <c r="B31" s="28" t="s">
        <v>95</v>
      </c>
      <c r="C31" s="29">
        <v>2014</v>
      </c>
      <c r="D31" s="29">
        <v>2015</v>
      </c>
      <c r="E31" s="29">
        <v>2016</v>
      </c>
      <c r="F31" s="29">
        <v>2017</v>
      </c>
    </row>
    <row r="32" spans="3:6" s="43" customFormat="1" ht="20.25" customHeight="1">
      <c r="C32" s="44" t="s">
        <v>194</v>
      </c>
      <c r="D32" s="44" t="s">
        <v>194</v>
      </c>
      <c r="E32" s="44" t="s">
        <v>194</v>
      </c>
      <c r="F32" s="44" t="s">
        <v>193</v>
      </c>
    </row>
    <row r="33" spans="1:6" s="23" customFormat="1" ht="12.75">
      <c r="A33" s="45" t="s">
        <v>79</v>
      </c>
      <c r="B33" s="58" t="s">
        <v>7</v>
      </c>
      <c r="C33" s="61">
        <f>C34+C37+C40</f>
        <v>14013797.009999998</v>
      </c>
      <c r="D33" s="61">
        <f>D34+D37+D40</f>
        <v>14784435.29</v>
      </c>
      <c r="E33" s="61">
        <f>E34+E37+E40</f>
        <v>15615073.75</v>
      </c>
      <c r="F33" s="61">
        <f>F34+F37+F40</f>
        <v>14710443.53</v>
      </c>
    </row>
    <row r="34" spans="1:6" s="23" customFormat="1" ht="12.75">
      <c r="A34" s="46" t="s">
        <v>80</v>
      </c>
      <c r="B34" s="56" t="s">
        <v>81</v>
      </c>
      <c r="C34" s="105">
        <f>C35+C36</f>
        <v>8521291.62</v>
      </c>
      <c r="D34" s="105">
        <f>D35+D36</f>
        <v>9009380</v>
      </c>
      <c r="E34" s="105">
        <f>E35+E36</f>
        <v>9774860.29</v>
      </c>
      <c r="F34" s="105">
        <f>F35+F36</f>
        <v>8364364.06</v>
      </c>
    </row>
    <row r="35" spans="1:6" s="23" customFormat="1" ht="12.75">
      <c r="A35" s="46" t="s">
        <v>80</v>
      </c>
      <c r="B35" s="56" t="s">
        <v>227</v>
      </c>
      <c r="C35" s="145">
        <v>8521291.62</v>
      </c>
      <c r="D35" s="145">
        <v>9009380</v>
      </c>
      <c r="E35" s="145">
        <v>9774860.29</v>
      </c>
      <c r="F35" s="350">
        <v>8364364.06</v>
      </c>
    </row>
    <row r="36" spans="1:6" s="23" customFormat="1" ht="12.75">
      <c r="A36" s="46" t="s">
        <v>80</v>
      </c>
      <c r="B36" s="310" t="s">
        <v>376</v>
      </c>
      <c r="C36" s="145"/>
      <c r="D36" s="145"/>
      <c r="E36" s="145"/>
      <c r="F36" s="350"/>
    </row>
    <row r="37" spans="1:6" ht="12.75">
      <c r="A37" s="47" t="s">
        <v>82</v>
      </c>
      <c r="B37" s="56" t="s">
        <v>199</v>
      </c>
      <c r="C37" s="105">
        <f>C38+C39</f>
        <v>0</v>
      </c>
      <c r="D37" s="105">
        <f>D38+D39</f>
        <v>0</v>
      </c>
      <c r="E37" s="105">
        <f>E38+E39</f>
        <v>0</v>
      </c>
      <c r="F37" s="352">
        <f>F38+F39</f>
        <v>0</v>
      </c>
    </row>
    <row r="38" spans="1:6" ht="12.75">
      <c r="A38" s="47" t="s">
        <v>82</v>
      </c>
      <c r="B38" s="56" t="s">
        <v>83</v>
      </c>
      <c r="C38" s="145"/>
      <c r="D38" s="145"/>
      <c r="E38" s="145"/>
      <c r="F38" s="350"/>
    </row>
    <row r="39" spans="1:6" ht="12.75">
      <c r="A39" s="47" t="s">
        <v>82</v>
      </c>
      <c r="B39" s="310" t="s">
        <v>377</v>
      </c>
      <c r="C39" s="145"/>
      <c r="D39" s="145"/>
      <c r="E39" s="145"/>
      <c r="F39" s="350"/>
    </row>
    <row r="40" spans="1:6" s="23" customFormat="1" ht="12.75">
      <c r="A40" s="46" t="s">
        <v>84</v>
      </c>
      <c r="B40" s="56" t="s">
        <v>85</v>
      </c>
      <c r="C40" s="105">
        <f>C41+C42</f>
        <v>5492505.39</v>
      </c>
      <c r="D40" s="105">
        <f>D41+D42</f>
        <v>5775055.29</v>
      </c>
      <c r="E40" s="105">
        <f>E41+E42</f>
        <v>5840213.46</v>
      </c>
      <c r="F40" s="352">
        <f>F41+F42</f>
        <v>6346079.47</v>
      </c>
    </row>
    <row r="41" spans="1:6" s="23" customFormat="1" ht="12.75">
      <c r="A41" s="46" t="s">
        <v>84</v>
      </c>
      <c r="B41" s="56" t="s">
        <v>228</v>
      </c>
      <c r="C41" s="145">
        <v>5492505.39</v>
      </c>
      <c r="D41" s="145">
        <v>5775055.29</v>
      </c>
      <c r="E41" s="145">
        <v>5840213.46</v>
      </c>
      <c r="F41" s="350">
        <v>6346079.47</v>
      </c>
    </row>
    <row r="42" spans="1:6" s="23" customFormat="1" ht="12.75">
      <c r="A42" s="46" t="s">
        <v>84</v>
      </c>
      <c r="B42" s="310" t="s">
        <v>378</v>
      </c>
      <c r="C42" s="145"/>
      <c r="D42" s="145"/>
      <c r="E42" s="145"/>
      <c r="F42" s="350"/>
    </row>
    <row r="43" spans="1:6" s="23" customFormat="1" ht="12.75">
      <c r="A43" s="46" t="s">
        <v>86</v>
      </c>
      <c r="B43" s="59" t="s">
        <v>8</v>
      </c>
      <c r="C43" s="61">
        <f>C44+C47+C50</f>
        <v>2174220.93</v>
      </c>
      <c r="D43" s="61">
        <f>D44+D47+D50</f>
        <v>1245148.53</v>
      </c>
      <c r="E43" s="61">
        <f>E44+E47+E50</f>
        <v>1238850</v>
      </c>
      <c r="F43" s="353">
        <f>F44+F47+F50</f>
        <v>760629.49</v>
      </c>
    </row>
    <row r="44" spans="1:6" s="23" customFormat="1" ht="12.75">
      <c r="A44" s="46" t="s">
        <v>87</v>
      </c>
      <c r="B44" s="56" t="s">
        <v>9</v>
      </c>
      <c r="C44" s="105">
        <f>C45+C46</f>
        <v>1983511.06</v>
      </c>
      <c r="D44" s="105">
        <f>D45+D46</f>
        <v>997874.34</v>
      </c>
      <c r="E44" s="105">
        <f>E45+E46</f>
        <v>918850</v>
      </c>
      <c r="F44" s="352">
        <f>F45+F46</f>
        <v>478500.37</v>
      </c>
    </row>
    <row r="45" spans="1:6" s="23" customFormat="1" ht="12.75">
      <c r="A45" s="46" t="s">
        <v>87</v>
      </c>
      <c r="B45" s="56" t="s">
        <v>229</v>
      </c>
      <c r="C45" s="145">
        <v>1983511.06</v>
      </c>
      <c r="D45" s="145">
        <v>997874.34</v>
      </c>
      <c r="E45" s="145">
        <v>918850</v>
      </c>
      <c r="F45" s="350">
        <v>478500.37</v>
      </c>
    </row>
    <row r="46" spans="1:6" s="23" customFormat="1" ht="12.75">
      <c r="A46" s="46" t="s">
        <v>87</v>
      </c>
      <c r="B46" s="310" t="s">
        <v>379</v>
      </c>
      <c r="C46" s="145"/>
      <c r="D46" s="145"/>
      <c r="E46" s="145"/>
      <c r="F46" s="350"/>
    </row>
    <row r="47" spans="1:6" s="23" customFormat="1" ht="12.75">
      <c r="A47" s="46" t="s">
        <v>88</v>
      </c>
      <c r="B47" s="56" t="s">
        <v>10</v>
      </c>
      <c r="C47" s="61">
        <f>C48+C49</f>
        <v>0</v>
      </c>
      <c r="D47" s="61">
        <f>D48+D49</f>
        <v>0</v>
      </c>
      <c r="E47" s="61">
        <f>E48+E49</f>
        <v>0</v>
      </c>
      <c r="F47" s="353">
        <f>F48+F49</f>
        <v>0</v>
      </c>
    </row>
    <row r="48" spans="1:6" ht="12.75">
      <c r="A48" s="47" t="s">
        <v>89</v>
      </c>
      <c r="B48" s="56" t="s">
        <v>90</v>
      </c>
      <c r="C48" s="145"/>
      <c r="D48" s="145"/>
      <c r="E48" s="145"/>
      <c r="F48" s="350"/>
    </row>
    <row r="49" spans="1:6" ht="12.75">
      <c r="A49" s="47" t="s">
        <v>190</v>
      </c>
      <c r="B49" s="56" t="s">
        <v>191</v>
      </c>
      <c r="C49" s="145"/>
      <c r="D49" s="145"/>
      <c r="E49" s="145"/>
      <c r="F49" s="350"/>
    </row>
    <row r="50" spans="1:6" s="23" customFormat="1" ht="12.75">
      <c r="A50" s="46" t="s">
        <v>91</v>
      </c>
      <c r="B50" s="56" t="s">
        <v>92</v>
      </c>
      <c r="C50" s="145">
        <v>190709.87</v>
      </c>
      <c r="D50" s="145">
        <v>247274.19</v>
      </c>
      <c r="E50" s="145">
        <v>320000</v>
      </c>
      <c r="F50" s="350">
        <v>282129.12</v>
      </c>
    </row>
    <row r="51" spans="1:6" s="23" customFormat="1" ht="12.75">
      <c r="A51" s="46"/>
      <c r="B51" s="56"/>
      <c r="C51" s="149"/>
      <c r="D51" s="149"/>
      <c r="E51" s="149"/>
      <c r="F51" s="149"/>
    </row>
    <row r="52" spans="1:6" s="23" customFormat="1" ht="12.75">
      <c r="A52" s="46" t="s">
        <v>347</v>
      </c>
      <c r="B52" s="56" t="s">
        <v>201</v>
      </c>
      <c r="C52" s="87"/>
      <c r="D52" s="87"/>
      <c r="E52" s="87"/>
      <c r="F52" s="61">
        <f>F29-F33-F43-F53</f>
        <v>3995314.9800000004</v>
      </c>
    </row>
    <row r="53" spans="1:6" s="23" customFormat="1" ht="12.75">
      <c r="A53" s="46" t="s">
        <v>348</v>
      </c>
      <c r="B53" s="310" t="s">
        <v>230</v>
      </c>
      <c r="C53" s="106"/>
      <c r="D53" s="106"/>
      <c r="E53" s="106"/>
      <c r="F53" s="107">
        <f>(F7+F11+F19+F26)-(F36+F39+F42+F46)</f>
        <v>0</v>
      </c>
    </row>
    <row r="54" spans="1:6" ht="12.75">
      <c r="A54" s="47"/>
      <c r="B54" s="56"/>
      <c r="C54" s="149"/>
      <c r="D54" s="149"/>
      <c r="E54" s="149"/>
      <c r="F54" s="149"/>
    </row>
    <row r="55" spans="1:6" s="23" customFormat="1" ht="12.75">
      <c r="A55" s="50"/>
      <c r="B55" s="59" t="s">
        <v>93</v>
      </c>
      <c r="C55" s="61">
        <f>C33+C43</f>
        <v>16188017.939999998</v>
      </c>
      <c r="D55" s="61">
        <f>D33+D43</f>
        <v>16029583.819999998</v>
      </c>
      <c r="E55" s="61">
        <f>E33+E43</f>
        <v>16853923.75</v>
      </c>
      <c r="F55" s="61">
        <f>F33+F43+F52+F53</f>
        <v>19466388</v>
      </c>
    </row>
    <row r="56" spans="1:6" ht="13.5" thickBot="1">
      <c r="A56" s="47"/>
      <c r="B56" s="56"/>
      <c r="C56" s="62"/>
      <c r="D56" s="62"/>
      <c r="E56" s="62"/>
      <c r="F56" s="62"/>
    </row>
    <row r="57" spans="1:6" ht="13.5" thickTop="1">
      <c r="A57" s="47"/>
      <c r="B57" s="88" t="s">
        <v>208</v>
      </c>
      <c r="C57" s="27">
        <v>2014</v>
      </c>
      <c r="D57" s="27">
        <f>C57+1</f>
        <v>2015</v>
      </c>
      <c r="E57" s="27">
        <f>D57+1</f>
        <v>2016</v>
      </c>
      <c r="F57" s="27">
        <f>E57+1</f>
        <v>2017</v>
      </c>
    </row>
    <row r="58" spans="1:6" s="23" customFormat="1" ht="12.75">
      <c r="A58" s="50"/>
      <c r="B58" s="56" t="s">
        <v>284</v>
      </c>
      <c r="C58" s="146">
        <v>15210809.4</v>
      </c>
      <c r="D58" s="146">
        <v>16048755.29</v>
      </c>
      <c r="E58" s="146">
        <v>17405414.2</v>
      </c>
      <c r="F58" s="350">
        <v>19466388</v>
      </c>
    </row>
    <row r="59" spans="1:6" ht="12.75">
      <c r="A59" s="47"/>
      <c r="B59" s="56" t="s">
        <v>165</v>
      </c>
      <c r="C59" s="147"/>
      <c r="D59" s="147"/>
      <c r="E59" s="147"/>
      <c r="F59" s="351"/>
    </row>
    <row r="60" spans="1:6" ht="12.75">
      <c r="A60" s="47"/>
      <c r="B60" s="56" t="s">
        <v>166</v>
      </c>
      <c r="C60" s="147"/>
      <c r="D60" s="147"/>
      <c r="E60" s="147"/>
      <c r="F60" s="351"/>
    </row>
    <row r="61" spans="1:6" ht="12.75">
      <c r="A61" s="47"/>
      <c r="B61" s="56" t="s">
        <v>167</v>
      </c>
      <c r="C61" s="147">
        <v>20000</v>
      </c>
      <c r="D61" s="147">
        <v>26000</v>
      </c>
      <c r="E61" s="147">
        <v>10000</v>
      </c>
      <c r="F61" s="351">
        <v>10700</v>
      </c>
    </row>
    <row r="62" spans="1:6" ht="12.75">
      <c r="A62" s="47"/>
      <c r="B62" s="56" t="s">
        <v>172</v>
      </c>
      <c r="C62" s="147"/>
      <c r="D62" s="147"/>
      <c r="E62" s="147"/>
      <c r="F62" s="351"/>
    </row>
    <row r="63" spans="1:6" s="23" customFormat="1" ht="12.75">
      <c r="A63" s="50"/>
      <c r="B63" s="56" t="s">
        <v>168</v>
      </c>
      <c r="C63" s="146">
        <f>C58</f>
        <v>15210809.4</v>
      </c>
      <c r="D63" s="146">
        <f>D58</f>
        <v>16048755.29</v>
      </c>
      <c r="E63" s="146">
        <f>E58</f>
        <v>17405414.2</v>
      </c>
      <c r="F63" s="350">
        <f>F58</f>
        <v>19466388</v>
      </c>
    </row>
    <row r="64" spans="1:6" ht="12.75">
      <c r="A64" s="47"/>
      <c r="B64" s="56" t="s">
        <v>83</v>
      </c>
      <c r="C64" s="147"/>
      <c r="D64" s="147"/>
      <c r="E64" s="147"/>
      <c r="F64" s="351"/>
    </row>
    <row r="65" spans="1:6" ht="12.75">
      <c r="A65" s="47"/>
      <c r="B65" s="56" t="s">
        <v>169</v>
      </c>
      <c r="C65" s="147">
        <v>240000</v>
      </c>
      <c r="D65" s="147">
        <v>420000</v>
      </c>
      <c r="E65" s="147">
        <v>320000</v>
      </c>
      <c r="F65" s="351">
        <v>320000</v>
      </c>
    </row>
    <row r="66" spans="1:6" ht="12.75">
      <c r="A66" s="47"/>
      <c r="B66" s="56" t="s">
        <v>170</v>
      </c>
      <c r="C66" s="349"/>
      <c r="D66" s="349"/>
      <c r="E66" s="349"/>
      <c r="F66" s="349"/>
    </row>
    <row r="67" spans="1:6" ht="12.75">
      <c r="A67" s="60"/>
      <c r="B67" s="57"/>
      <c r="C67" s="148"/>
      <c r="D67" s="148"/>
      <c r="E67" s="148"/>
      <c r="F67" s="14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/>
  <dimension ref="A1:G27"/>
  <sheetViews>
    <sheetView zoomScale="130" zoomScaleNormal="130" zoomScaleSheetLayoutView="90" zoomScalePageLayoutView="0" workbookViewId="0" topLeftCell="A1">
      <selection activeCell="A5" sqref="A5:G5"/>
    </sheetView>
  </sheetViews>
  <sheetFormatPr defaultColWidth="9.140625" defaultRowHeight="12.75"/>
  <cols>
    <col min="1" max="1" width="22.00390625" style="35" customWidth="1"/>
    <col min="2" max="2" width="17.57421875" style="35" customWidth="1"/>
    <col min="3" max="3" width="10.140625" style="35" customWidth="1"/>
    <col min="4" max="4" width="17.7109375" style="35" customWidth="1"/>
    <col min="5" max="5" width="10.421875" style="35" customWidth="1"/>
    <col min="6" max="6" width="18.00390625" style="35" customWidth="1"/>
    <col min="7" max="7" width="10.7109375" style="35" customWidth="1"/>
    <col min="8" max="16384" width="9.140625" style="35" customWidth="1"/>
  </cols>
  <sheetData>
    <row r="1" spans="1:7" ht="15">
      <c r="A1" s="472" t="str">
        <f>Parâmetros!A7</f>
        <v>Município de Barra do Quaraí</v>
      </c>
      <c r="B1" s="528"/>
      <c r="C1" s="528"/>
      <c r="D1" s="528"/>
      <c r="E1" s="528"/>
      <c r="F1" s="528"/>
      <c r="G1" s="529"/>
    </row>
    <row r="2" spans="1:7" ht="12.75">
      <c r="A2" s="475" t="s">
        <v>42</v>
      </c>
      <c r="B2" s="473"/>
      <c r="C2" s="473"/>
      <c r="D2" s="473"/>
      <c r="E2" s="473"/>
      <c r="F2" s="473"/>
      <c r="G2" s="474"/>
    </row>
    <row r="3" spans="1:7" ht="12.75">
      <c r="A3" s="475" t="s">
        <v>175</v>
      </c>
      <c r="B3" s="473"/>
      <c r="C3" s="473"/>
      <c r="D3" s="473"/>
      <c r="E3" s="473"/>
      <c r="F3" s="473"/>
      <c r="G3" s="474"/>
    </row>
    <row r="4" spans="1:7" ht="12.75">
      <c r="A4" s="476" t="s">
        <v>184</v>
      </c>
      <c r="B4" s="477"/>
      <c r="C4" s="477"/>
      <c r="D4" s="477"/>
      <c r="E4" s="477"/>
      <c r="F4" s="477"/>
      <c r="G4" s="478"/>
    </row>
    <row r="5" spans="1:7" ht="12.75">
      <c r="A5" s="475" t="s">
        <v>441</v>
      </c>
      <c r="B5" s="473"/>
      <c r="C5" s="473"/>
      <c r="D5" s="473"/>
      <c r="E5" s="473"/>
      <c r="F5" s="473"/>
      <c r="G5" s="474"/>
    </row>
    <row r="6" spans="1:7" ht="12.75">
      <c r="A6" s="475"/>
      <c r="B6" s="473"/>
      <c r="C6" s="473"/>
      <c r="D6" s="473"/>
      <c r="E6" s="473"/>
      <c r="F6" s="473"/>
      <c r="G6" s="474"/>
    </row>
    <row r="7" spans="1:7" ht="15">
      <c r="A7" s="531" t="s">
        <v>289</v>
      </c>
      <c r="B7" s="532"/>
      <c r="C7" s="40"/>
      <c r="D7" s="40"/>
      <c r="E7" s="40"/>
      <c r="F7" s="40"/>
      <c r="G7" s="38">
        <v>1</v>
      </c>
    </row>
    <row r="8" spans="1:7" s="37" customFormat="1" ht="25.5" customHeight="1">
      <c r="A8" s="39" t="s">
        <v>127</v>
      </c>
      <c r="B8" s="39">
        <v>2016</v>
      </c>
      <c r="C8" s="39" t="s">
        <v>19</v>
      </c>
      <c r="D8" s="39">
        <f>B8-1</f>
        <v>2015</v>
      </c>
      <c r="E8" s="39" t="s">
        <v>19</v>
      </c>
      <c r="F8" s="39">
        <f>D8-1</f>
        <v>2014</v>
      </c>
      <c r="G8" s="36" t="s">
        <v>19</v>
      </c>
    </row>
    <row r="9" spans="1:7" ht="15">
      <c r="A9" s="175" t="s">
        <v>128</v>
      </c>
      <c r="B9" s="110"/>
      <c r="C9" s="212">
        <f>IF(B12=0,"-",(B9/B12))</f>
        <v>0</v>
      </c>
      <c r="D9" s="110"/>
      <c r="E9" s="212">
        <f>IF(D12=0,"-",(D9/D12))</f>
        <v>0</v>
      </c>
      <c r="F9" s="110"/>
      <c r="G9" s="212">
        <f>IF(F12=0,"-",(F9/F12))</f>
        <v>0</v>
      </c>
    </row>
    <row r="10" spans="1:7" ht="15">
      <c r="A10" s="175" t="s">
        <v>49</v>
      </c>
      <c r="B10" s="213">
        <v>4511293.98</v>
      </c>
      <c r="C10" s="212">
        <f>IF(B12=0,"-",(B10/B12))</f>
        <v>0.34056210718568014</v>
      </c>
      <c r="D10" s="213">
        <v>4511293.98</v>
      </c>
      <c r="E10" s="212">
        <f>IF(D12=0,"-",(D10/D12))</f>
        <v>0.35557502524895024</v>
      </c>
      <c r="F10" s="213">
        <v>4511293.98</v>
      </c>
      <c r="G10" s="212">
        <f>IF(F12=0,"-",(F10/F12))</f>
        <v>0.37581195020351477</v>
      </c>
    </row>
    <row r="11" spans="1:7" ht="15">
      <c r="A11" s="176" t="s">
        <v>129</v>
      </c>
      <c r="B11" s="214">
        <v>8735317.68</v>
      </c>
      <c r="C11" s="215">
        <f>IF(B12=0,"-",(B11/B12))</f>
        <v>0.6594378928143199</v>
      </c>
      <c r="D11" s="214">
        <v>8176025.6</v>
      </c>
      <c r="E11" s="215">
        <f>IF(D12=0,"-",(D11/D12))</f>
        <v>0.6444249747510498</v>
      </c>
      <c r="F11" s="214">
        <v>7492831.96</v>
      </c>
      <c r="G11" s="215">
        <f>IF(F12=0,"-",(F11/F12))</f>
        <v>0.6241880497964851</v>
      </c>
    </row>
    <row r="12" spans="1:7" ht="15">
      <c r="A12" s="216" t="s">
        <v>130</v>
      </c>
      <c r="B12" s="217">
        <f>SUM(B9:B11)</f>
        <v>13246611.66</v>
      </c>
      <c r="C12" s="215">
        <f>IF(B12=0,"-",(B12/B12))</f>
        <v>1</v>
      </c>
      <c r="D12" s="217">
        <f>SUM(D9:D11)</f>
        <v>12687319.58</v>
      </c>
      <c r="E12" s="215">
        <f>IF(D12=0,"-",(D12/D12))</f>
        <v>1</v>
      </c>
      <c r="F12" s="217">
        <f>SUM(F9:F11)</f>
        <v>12004125.940000001</v>
      </c>
      <c r="G12" s="215">
        <f>IF(F12=0,"-",(F12/F12))</f>
        <v>1</v>
      </c>
    </row>
    <row r="13" spans="1:7" ht="15">
      <c r="A13" s="530"/>
      <c r="B13" s="530"/>
      <c r="C13" s="530"/>
      <c r="D13" s="530"/>
      <c r="E13" s="530"/>
      <c r="F13" s="530"/>
      <c r="G13" s="530"/>
    </row>
    <row r="14" spans="1:7" ht="15.75" customHeight="1">
      <c r="A14" s="526" t="s">
        <v>131</v>
      </c>
      <c r="B14" s="526"/>
      <c r="C14" s="526"/>
      <c r="D14" s="526"/>
      <c r="E14" s="526"/>
      <c r="F14" s="526"/>
      <c r="G14" s="526"/>
    </row>
    <row r="15" spans="1:7" s="37" customFormat="1" ht="25.5" customHeight="1">
      <c r="A15" s="190" t="s">
        <v>127</v>
      </c>
      <c r="B15" s="190">
        <v>2016</v>
      </c>
      <c r="C15" s="190" t="s">
        <v>19</v>
      </c>
      <c r="D15" s="190">
        <f>B15-1</f>
        <v>2015</v>
      </c>
      <c r="E15" s="190" t="s">
        <v>19</v>
      </c>
      <c r="F15" s="190">
        <f>D15-1</f>
        <v>2014</v>
      </c>
      <c r="G15" s="172" t="s">
        <v>19</v>
      </c>
    </row>
    <row r="16" spans="1:7" ht="15">
      <c r="A16" s="175" t="s">
        <v>128</v>
      </c>
      <c r="B16" s="110">
        <f>D19</f>
        <v>0</v>
      </c>
      <c r="C16" s="212" t="str">
        <f>IF(B19=0,"-",(B16/B19))</f>
        <v>-</v>
      </c>
      <c r="D16" s="110">
        <f>F19</f>
        <v>0</v>
      </c>
      <c r="E16" s="212" t="str">
        <f>IF(D19=0,"-",(D16/D19))</f>
        <v>-</v>
      </c>
      <c r="F16" s="110"/>
      <c r="G16" s="212" t="str">
        <f>IF(F19=0,"-",(F16/F19))</f>
        <v>-</v>
      </c>
    </row>
    <row r="17" spans="1:7" ht="15">
      <c r="A17" s="175" t="s">
        <v>49</v>
      </c>
      <c r="B17" s="213"/>
      <c r="C17" s="212" t="str">
        <f>IF(B19=0,"-",(B17/B19))</f>
        <v>-</v>
      </c>
      <c r="D17" s="213"/>
      <c r="E17" s="212" t="str">
        <f>IF(D19=0,"-",(D17/D19))</f>
        <v>-</v>
      </c>
      <c r="F17" s="213"/>
      <c r="G17" s="212" t="str">
        <f>IF(F19=0,"-",(F17/F19))</f>
        <v>-</v>
      </c>
    </row>
    <row r="18" spans="1:7" ht="15">
      <c r="A18" s="176" t="s">
        <v>129</v>
      </c>
      <c r="B18" s="214"/>
      <c r="C18" s="215" t="str">
        <f>IF(B19=0,"-",(B18/B19))</f>
        <v>-</v>
      </c>
      <c r="D18" s="214"/>
      <c r="E18" s="215" t="str">
        <f>IF(D19=0,"-",(D18/D19))</f>
        <v>-</v>
      </c>
      <c r="F18" s="214"/>
      <c r="G18" s="215" t="str">
        <f>IF(F19=0,"-",(F18/F19))</f>
        <v>-</v>
      </c>
    </row>
    <row r="19" spans="1:7" ht="15">
      <c r="A19" s="216" t="s">
        <v>130</v>
      </c>
      <c r="B19" s="217">
        <f>SUM(B16:B18)</f>
        <v>0</v>
      </c>
      <c r="C19" s="215" t="str">
        <f>IF(B19=0,"-",(B19/B19))</f>
        <v>-</v>
      </c>
      <c r="D19" s="217">
        <f>SUM(D16:D18)</f>
        <v>0</v>
      </c>
      <c r="E19" s="215" t="str">
        <f>IF(D19=0,"-",(D19/D19))</f>
        <v>-</v>
      </c>
      <c r="F19" s="217">
        <f>SUM(F16:F18)</f>
        <v>0</v>
      </c>
      <c r="G19" s="215" t="str">
        <f>IF(F19=0,"-",(F19/F19))</f>
        <v>-</v>
      </c>
    </row>
    <row r="20" spans="1:7" ht="12.75">
      <c r="A20" s="527"/>
      <c r="B20" s="527"/>
      <c r="C20" s="527"/>
      <c r="D20" s="527"/>
      <c r="E20" s="527"/>
      <c r="F20" s="527"/>
      <c r="G20" s="527"/>
    </row>
    <row r="21" spans="1:7" ht="15.75" customHeight="1">
      <c r="A21" s="526" t="s">
        <v>342</v>
      </c>
      <c r="B21" s="526"/>
      <c r="C21" s="526"/>
      <c r="D21" s="526"/>
      <c r="E21" s="526"/>
      <c r="F21" s="526"/>
      <c r="G21" s="526"/>
    </row>
    <row r="22" spans="1:7" s="37" customFormat="1" ht="25.5" customHeight="1">
      <c r="A22" s="190" t="s">
        <v>127</v>
      </c>
      <c r="B22" s="190">
        <v>2016</v>
      </c>
      <c r="C22" s="190" t="s">
        <v>19</v>
      </c>
      <c r="D22" s="190">
        <f>B22-1</f>
        <v>2015</v>
      </c>
      <c r="E22" s="190" t="s">
        <v>19</v>
      </c>
      <c r="F22" s="190">
        <f>D22-1</f>
        <v>2014</v>
      </c>
      <c r="G22" s="172" t="s">
        <v>19</v>
      </c>
    </row>
    <row r="23" spans="1:7" ht="15">
      <c r="A23" s="175" t="s">
        <v>128</v>
      </c>
      <c r="B23" s="110">
        <f>B9+B16</f>
        <v>0</v>
      </c>
      <c r="C23" s="212">
        <f>IF(B26=0,"-",(B23/B26))</f>
        <v>0</v>
      </c>
      <c r="D23" s="110">
        <f>D9+D16</f>
        <v>0</v>
      </c>
      <c r="E23" s="212">
        <f>IF(D26=0,"-",(D23/D26))</f>
        <v>0</v>
      </c>
      <c r="F23" s="110">
        <f>F9+F16</f>
        <v>0</v>
      </c>
      <c r="G23" s="212">
        <f>IF(F26=0,"-",(F23/F26))</f>
        <v>0</v>
      </c>
    </row>
    <row r="24" spans="1:7" ht="15">
      <c r="A24" s="175" t="s">
        <v>49</v>
      </c>
      <c r="B24" s="213">
        <f>B10+B17</f>
        <v>4511293.98</v>
      </c>
      <c r="C24" s="212">
        <f>IF(B26=0,"-",(B24/B26))</f>
        <v>0.34056210718568014</v>
      </c>
      <c r="D24" s="213">
        <f>D10+D17</f>
        <v>4511293.98</v>
      </c>
      <c r="E24" s="212">
        <f>IF(D26=0,"-",(D24/D26))</f>
        <v>0.35557502524895024</v>
      </c>
      <c r="F24" s="213">
        <f>F10+F17</f>
        <v>4511293.98</v>
      </c>
      <c r="G24" s="212">
        <f>IF(F26=0,"-",(F24/F26))</f>
        <v>0.37581195020351477</v>
      </c>
    </row>
    <row r="25" spans="1:7" ht="15">
      <c r="A25" s="176" t="s">
        <v>129</v>
      </c>
      <c r="B25" s="214">
        <f>B11+B18</f>
        <v>8735317.68</v>
      </c>
      <c r="C25" s="215">
        <f>IF(B26=0,"-",(B25/B26))</f>
        <v>0.6594378928143199</v>
      </c>
      <c r="D25" s="214">
        <f>D11+D18</f>
        <v>8176025.6</v>
      </c>
      <c r="E25" s="215">
        <f>IF(D26=0,"-",(D25/D26))</f>
        <v>0.6444249747510498</v>
      </c>
      <c r="F25" s="214">
        <f>F11+F18</f>
        <v>7492831.96</v>
      </c>
      <c r="G25" s="215">
        <f>IF(F26=0,"-",(F25/F26))</f>
        <v>0.6241880497964851</v>
      </c>
    </row>
    <row r="26" spans="1:7" ht="15">
      <c r="A26" s="216" t="s">
        <v>130</v>
      </c>
      <c r="B26" s="217">
        <f>SUM(B23:B25)</f>
        <v>13246611.66</v>
      </c>
      <c r="C26" s="215">
        <f>IF(B26=0,"-",(B26/B26))</f>
        <v>1</v>
      </c>
      <c r="D26" s="217">
        <f>SUM(D23:D25)</f>
        <v>12687319.58</v>
      </c>
      <c r="E26" s="215">
        <f>IF(D26=0,"-",(D26/D26))</f>
        <v>1</v>
      </c>
      <c r="F26" s="217">
        <f>SUM(F23:F25)</f>
        <v>12004125.940000001</v>
      </c>
      <c r="G26" s="215">
        <f>IF(F26=0,"-",(F26/F26))</f>
        <v>1</v>
      </c>
    </row>
    <row r="27" ht="56.25">
      <c r="A27" s="327" t="s">
        <v>390</v>
      </c>
    </row>
  </sheetData>
  <sheetProtection/>
  <mergeCells count="11">
    <mergeCell ref="A6:G6"/>
    <mergeCell ref="A21:G21"/>
    <mergeCell ref="A20:G20"/>
    <mergeCell ref="A1:G1"/>
    <mergeCell ref="A2:G2"/>
    <mergeCell ref="A13:G13"/>
    <mergeCell ref="A14:G14"/>
    <mergeCell ref="A7:B7"/>
    <mergeCell ref="A3:G3"/>
    <mergeCell ref="A4:G4"/>
    <mergeCell ref="A5:G5"/>
  </mergeCells>
  <printOptions/>
  <pageMargins left="0.787401575" right="0.787401575" top="0.984251969" bottom="0.984251969" header="0.492125985" footer="0.492125985"/>
  <pageSetup horizontalDpi="600" verticalDpi="600" orientation="portrait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/>
  <dimension ref="A1:K30"/>
  <sheetViews>
    <sheetView zoomScale="90" zoomScaleNormal="90" zoomScaleSheetLayoutView="90" zoomScalePageLayoutView="0" workbookViewId="0" topLeftCell="A1">
      <selection activeCell="A6" sqref="A6:D6"/>
    </sheetView>
  </sheetViews>
  <sheetFormatPr defaultColWidth="9.140625" defaultRowHeight="12.75"/>
  <cols>
    <col min="1" max="1" width="58.421875" style="41" customWidth="1"/>
    <col min="2" max="3" width="14.7109375" style="41" customWidth="1"/>
    <col min="4" max="4" width="15.7109375" style="41" customWidth="1"/>
    <col min="5" max="16384" width="9.140625" style="41" customWidth="1"/>
  </cols>
  <sheetData>
    <row r="1" spans="1:4" ht="14.25">
      <c r="A1" s="545" t="str">
        <f>Parâmetros!A7</f>
        <v>Município de Barra do Quaraí</v>
      </c>
      <c r="B1" s="546"/>
      <c r="C1" s="546"/>
      <c r="D1" s="547"/>
    </row>
    <row r="2" spans="1:4" ht="14.25">
      <c r="A2" s="548" t="s">
        <v>42</v>
      </c>
      <c r="B2" s="546"/>
      <c r="C2" s="546"/>
      <c r="D2" s="547"/>
    </row>
    <row r="3" spans="1:4" ht="14.25">
      <c r="A3" s="548" t="s">
        <v>175</v>
      </c>
      <c r="B3" s="546"/>
      <c r="C3" s="546"/>
      <c r="D3" s="547"/>
    </row>
    <row r="4" spans="1:4" ht="15">
      <c r="A4" s="549" t="s">
        <v>185</v>
      </c>
      <c r="B4" s="550"/>
      <c r="C4" s="550"/>
      <c r="D4" s="551"/>
    </row>
    <row r="5" spans="1:4" ht="14.25">
      <c r="A5" s="548" t="s">
        <v>413</v>
      </c>
      <c r="B5" s="546"/>
      <c r="C5" s="546"/>
      <c r="D5" s="547"/>
    </row>
    <row r="6" spans="1:4" ht="14.25">
      <c r="A6" s="548"/>
      <c r="B6" s="546"/>
      <c r="C6" s="546"/>
      <c r="D6" s="547"/>
    </row>
    <row r="7" spans="1:4" ht="15" thickBot="1">
      <c r="A7" s="393" t="s">
        <v>290</v>
      </c>
      <c r="B7" s="394"/>
      <c r="C7" s="394"/>
      <c r="D7" s="395">
        <v>1</v>
      </c>
    </row>
    <row r="8" spans="1:4" s="42" customFormat="1" ht="25.5" customHeight="1">
      <c r="A8" s="396" t="s">
        <v>132</v>
      </c>
      <c r="B8" s="397">
        <v>2016</v>
      </c>
      <c r="C8" s="397">
        <f>B8-1</f>
        <v>2015</v>
      </c>
      <c r="D8" s="398">
        <f>C8-1</f>
        <v>2014</v>
      </c>
    </row>
    <row r="9" spans="1:4" s="42" customFormat="1" ht="25.5" customHeight="1">
      <c r="A9" s="399" t="s">
        <v>415</v>
      </c>
      <c r="B9" s="186"/>
      <c r="C9" s="186"/>
      <c r="D9" s="400"/>
    </row>
    <row r="10" spans="1:4" ht="12.75" customHeight="1">
      <c r="A10" s="401" t="s">
        <v>68</v>
      </c>
      <c r="B10" s="187">
        <f>B11</f>
        <v>10000</v>
      </c>
      <c r="C10" s="187">
        <f>C11</f>
        <v>9014.5</v>
      </c>
      <c r="D10" s="402">
        <f>D11</f>
        <v>11116.31</v>
      </c>
    </row>
    <row r="11" spans="1:11" ht="12.75" customHeight="1">
      <c r="A11" s="401" t="s">
        <v>133</v>
      </c>
      <c r="B11" s="187">
        <f>B12+B13</f>
        <v>10000</v>
      </c>
      <c r="C11" s="187">
        <f>C12+C13</f>
        <v>9014.5</v>
      </c>
      <c r="D11" s="402">
        <f>D12+D13</f>
        <v>11116.31</v>
      </c>
      <c r="K11" s="41" t="s">
        <v>411</v>
      </c>
    </row>
    <row r="12" spans="1:4" ht="12.75" customHeight="1">
      <c r="A12" s="401" t="s">
        <v>134</v>
      </c>
      <c r="B12" s="345"/>
      <c r="C12" s="143"/>
      <c r="D12" s="403"/>
    </row>
    <row r="13" spans="1:4" ht="12.75" customHeight="1">
      <c r="A13" s="404" t="s">
        <v>135</v>
      </c>
      <c r="B13" s="346">
        <v>10000</v>
      </c>
      <c r="C13" s="144">
        <v>9014.5</v>
      </c>
      <c r="D13" s="405">
        <v>11116.31</v>
      </c>
    </row>
    <row r="14" spans="1:4" ht="12.75" customHeight="1">
      <c r="A14" s="404" t="s">
        <v>215</v>
      </c>
      <c r="B14" s="144">
        <v>0</v>
      </c>
      <c r="C14" s="144">
        <v>0</v>
      </c>
      <c r="D14" s="405">
        <v>0</v>
      </c>
    </row>
    <row r="15" spans="1:4" ht="14.25">
      <c r="A15" s="404" t="s">
        <v>136</v>
      </c>
      <c r="B15" s="188">
        <f>B12+B13+B14</f>
        <v>10000</v>
      </c>
      <c r="C15" s="188">
        <f>C12+C13+C14</f>
        <v>9014.5</v>
      </c>
      <c r="D15" s="406">
        <f>D9+D12+D13+D14</f>
        <v>11116.31</v>
      </c>
    </row>
    <row r="16" spans="1:4" ht="14.25">
      <c r="A16" s="533"/>
      <c r="B16" s="534"/>
      <c r="C16" s="534"/>
      <c r="D16" s="535"/>
    </row>
    <row r="17" spans="1:4" s="42" customFormat="1" ht="14.25">
      <c r="A17" s="539" t="s">
        <v>283</v>
      </c>
      <c r="B17" s="541">
        <v>2016</v>
      </c>
      <c r="C17" s="541">
        <f>B17-1</f>
        <v>2015</v>
      </c>
      <c r="D17" s="543">
        <f>C17-1</f>
        <v>2014</v>
      </c>
    </row>
    <row r="18" spans="1:4" s="42" customFormat="1" ht="14.25">
      <c r="A18" s="540"/>
      <c r="B18" s="542"/>
      <c r="C18" s="542"/>
      <c r="D18" s="544"/>
    </row>
    <row r="19" spans="1:4" ht="28.5">
      <c r="A19" s="401" t="s">
        <v>137</v>
      </c>
      <c r="B19" s="189"/>
      <c r="C19" s="189"/>
      <c r="D19" s="407"/>
    </row>
    <row r="20" spans="1:4" ht="14.25">
      <c r="A20" s="401" t="s">
        <v>138</v>
      </c>
      <c r="B20" s="187">
        <f>B21+B22+B23</f>
        <v>1238850</v>
      </c>
      <c r="C20" s="187">
        <f>C21+C22+C23</f>
        <v>1245148.53</v>
      </c>
      <c r="D20" s="402">
        <f>D21+D22+D23</f>
        <v>2174220.93</v>
      </c>
    </row>
    <row r="21" spans="1:4" ht="14.25">
      <c r="A21" s="401" t="s">
        <v>139</v>
      </c>
      <c r="B21" s="392">
        <v>918850</v>
      </c>
      <c r="C21" s="143">
        <v>997874.34</v>
      </c>
      <c r="D21" s="403">
        <v>1983511.06</v>
      </c>
    </row>
    <row r="22" spans="1:4" ht="14.25">
      <c r="A22" s="401" t="s">
        <v>140</v>
      </c>
      <c r="B22" s="143"/>
      <c r="C22" s="143"/>
      <c r="D22" s="403"/>
    </row>
    <row r="23" spans="1:4" ht="14.25">
      <c r="A23" s="401" t="s">
        <v>141</v>
      </c>
      <c r="B23" s="392">
        <v>320000</v>
      </c>
      <c r="C23" s="143">
        <v>247274.19</v>
      </c>
      <c r="D23" s="403">
        <v>190709.87</v>
      </c>
    </row>
    <row r="24" spans="1:4" ht="14.25">
      <c r="A24" s="401" t="s">
        <v>142</v>
      </c>
      <c r="B24" s="187">
        <f>B25+B26</f>
        <v>0</v>
      </c>
      <c r="C24" s="187">
        <f>C25+C26</f>
        <v>0</v>
      </c>
      <c r="D24" s="402">
        <f>D25+D26</f>
        <v>0</v>
      </c>
    </row>
    <row r="25" spans="1:4" ht="14.25">
      <c r="A25" s="401" t="s">
        <v>143</v>
      </c>
      <c r="B25" s="143"/>
      <c r="C25" s="143"/>
      <c r="D25" s="403"/>
    </row>
    <row r="26" spans="1:4" ht="14.25">
      <c r="A26" s="404" t="s">
        <v>144</v>
      </c>
      <c r="B26" s="144"/>
      <c r="C26" s="144"/>
      <c r="D26" s="405"/>
    </row>
    <row r="27" spans="1:4" ht="14.25">
      <c r="A27" s="404" t="s">
        <v>136</v>
      </c>
      <c r="B27" s="188">
        <f>B20+B24</f>
        <v>1238850</v>
      </c>
      <c r="C27" s="188">
        <f>C20+C24</f>
        <v>1245148.53</v>
      </c>
      <c r="D27" s="406">
        <f>D20+D24</f>
        <v>2174220.93</v>
      </c>
    </row>
    <row r="28" spans="1:4" ht="14.25">
      <c r="A28" s="536" t="s">
        <v>145</v>
      </c>
      <c r="B28" s="144"/>
      <c r="C28" s="144"/>
      <c r="D28" s="405"/>
    </row>
    <row r="29" spans="1:4" ht="15" thickBot="1">
      <c r="A29" s="537"/>
      <c r="B29" s="408">
        <f>C29+B15-B27</f>
        <v>-4628088.65</v>
      </c>
      <c r="C29" s="408">
        <f>D29+C15-C27</f>
        <v>-3399238.6500000004</v>
      </c>
      <c r="D29" s="409">
        <f>D15-D27</f>
        <v>-2163104.62</v>
      </c>
    </row>
    <row r="30" spans="1:4" ht="14.25">
      <c r="A30" s="538" t="s">
        <v>390</v>
      </c>
      <c r="B30" s="538"/>
      <c r="C30" s="538"/>
      <c r="D30" s="538"/>
    </row>
  </sheetData>
  <sheetProtection/>
  <mergeCells count="13">
    <mergeCell ref="A1:D1"/>
    <mergeCell ref="A2:D2"/>
    <mergeCell ref="A3:D3"/>
    <mergeCell ref="A4:D4"/>
    <mergeCell ref="A5:D5"/>
    <mergeCell ref="A6:D6"/>
    <mergeCell ref="A16:D16"/>
    <mergeCell ref="A28:A29"/>
    <mergeCell ref="A30:D30"/>
    <mergeCell ref="A17:A18"/>
    <mergeCell ref="B17:B18"/>
    <mergeCell ref="C17:C18"/>
    <mergeCell ref="D17:D18"/>
  </mergeCells>
  <printOptions/>
  <pageMargins left="0.787401575" right="0.787401575" top="0.984251969" bottom="0.984251969" header="0.492125985" footer="0.492125985"/>
  <pageSetup horizontalDpi="600" verticalDpi="600" orientation="landscape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5" sqref="A5:G5"/>
    </sheetView>
  </sheetViews>
  <sheetFormatPr defaultColWidth="9.140625" defaultRowHeight="11.25" customHeight="1"/>
  <cols>
    <col min="1" max="3" width="12.8515625" style="111" customWidth="1"/>
    <col min="4" max="4" width="17.57421875" style="111" customWidth="1"/>
    <col min="5" max="5" width="9.140625" style="111" customWidth="1"/>
    <col min="6" max="6" width="9.7109375" style="111" customWidth="1"/>
    <col min="7" max="7" width="10.7109375" style="111" customWidth="1"/>
    <col min="8" max="8" width="12.8515625" style="111" customWidth="1"/>
    <col min="9" max="16384" width="9.140625" style="111" customWidth="1"/>
  </cols>
  <sheetData>
    <row r="1" spans="1:7" ht="11.25" customHeight="1">
      <c r="A1" s="572" t="str">
        <f>Parâmetros!A7</f>
        <v>Município de Barra do Quaraí</v>
      </c>
      <c r="B1" s="573"/>
      <c r="C1" s="573"/>
      <c r="D1" s="573"/>
      <c r="E1" s="573"/>
      <c r="F1" s="573"/>
      <c r="G1" s="573"/>
    </row>
    <row r="2" spans="1:7" ht="11.25" customHeight="1">
      <c r="A2" s="573" t="s">
        <v>42</v>
      </c>
      <c r="B2" s="573"/>
      <c r="C2" s="573"/>
      <c r="D2" s="573"/>
      <c r="E2" s="573"/>
      <c r="F2" s="573"/>
      <c r="G2" s="573"/>
    </row>
    <row r="3" spans="1:7" ht="11.25" customHeight="1">
      <c r="A3" s="573" t="s">
        <v>243</v>
      </c>
      <c r="B3" s="573"/>
      <c r="C3" s="573"/>
      <c r="D3" s="573"/>
      <c r="E3" s="573"/>
      <c r="F3" s="573"/>
      <c r="G3" s="573"/>
    </row>
    <row r="4" spans="1:7" ht="11.25" customHeight="1">
      <c r="A4" s="574" t="s">
        <v>310</v>
      </c>
      <c r="B4" s="574"/>
      <c r="C4" s="574"/>
      <c r="D4" s="574"/>
      <c r="E4" s="574"/>
      <c r="F4" s="574"/>
      <c r="G4" s="574"/>
    </row>
    <row r="5" spans="1:7" ht="11.25" customHeight="1">
      <c r="A5" s="573" t="s">
        <v>413</v>
      </c>
      <c r="B5" s="573"/>
      <c r="C5" s="573"/>
      <c r="D5" s="573"/>
      <c r="E5" s="573"/>
      <c r="F5" s="573"/>
      <c r="G5" s="573"/>
    </row>
    <row r="6" spans="1:7" ht="11.25" customHeight="1">
      <c r="A6" s="575"/>
      <c r="B6" s="575"/>
      <c r="C6" s="575"/>
      <c r="D6" s="575"/>
      <c r="E6" s="575"/>
      <c r="F6" s="575"/>
      <c r="G6" s="576"/>
    </row>
    <row r="7" spans="1:7" s="114" customFormat="1" ht="11.25" customHeight="1">
      <c r="A7" s="577" t="s">
        <v>311</v>
      </c>
      <c r="B7" s="577"/>
      <c r="C7" s="577"/>
      <c r="D7" s="578"/>
      <c r="E7" s="112"/>
      <c r="F7" s="112"/>
      <c r="G7" s="113">
        <v>1</v>
      </c>
    </row>
    <row r="8" spans="1:7" s="114" customFormat="1" ht="11.25" customHeight="1">
      <c r="A8" s="579" t="s">
        <v>312</v>
      </c>
      <c r="B8" s="580"/>
      <c r="C8" s="580"/>
      <c r="D8" s="581"/>
      <c r="E8" s="562">
        <v>2014</v>
      </c>
      <c r="F8" s="562">
        <f>E8+1</f>
        <v>2015</v>
      </c>
      <c r="G8" s="562">
        <f>F8+1</f>
        <v>2016</v>
      </c>
    </row>
    <row r="9" spans="1:7" ht="11.25" customHeight="1">
      <c r="A9" s="567"/>
      <c r="B9" s="567"/>
      <c r="C9" s="567"/>
      <c r="D9" s="568"/>
      <c r="E9" s="563"/>
      <c r="F9" s="563"/>
      <c r="G9" s="563"/>
    </row>
    <row r="10" spans="1:7" ht="11.25" customHeight="1">
      <c r="A10" s="235" t="s">
        <v>313</v>
      </c>
      <c r="B10" s="236"/>
      <c r="C10" s="236"/>
      <c r="D10" s="237"/>
      <c r="E10" s="240">
        <f>E11+E21+E25</f>
        <v>0</v>
      </c>
      <c r="F10" s="240">
        <f>F11+F21+F25</f>
        <v>0</v>
      </c>
      <c r="G10" s="240">
        <f>G11+G21+G25</f>
        <v>0</v>
      </c>
    </row>
    <row r="11" spans="1:7" ht="11.25" customHeight="1">
      <c r="A11" s="556" t="s">
        <v>244</v>
      </c>
      <c r="B11" s="556"/>
      <c r="C11" s="556"/>
      <c r="D11" s="557"/>
      <c r="E11" s="241">
        <f>E12+E15+E16+E17+E18</f>
        <v>0</v>
      </c>
      <c r="F11" s="241">
        <f>F12+F15+F16+F17+F18</f>
        <v>0</v>
      </c>
      <c r="G11" s="241">
        <f>G12+G15+G16+G17+G18</f>
        <v>0</v>
      </c>
    </row>
    <row r="12" spans="1:7" ht="11.25" customHeight="1">
      <c r="A12" s="552" t="s">
        <v>314</v>
      </c>
      <c r="B12" s="552"/>
      <c r="C12" s="552"/>
      <c r="D12" s="553"/>
      <c r="E12" s="242">
        <f>E13+E14</f>
        <v>0</v>
      </c>
      <c r="F12" s="242">
        <f>F13+F14</f>
        <v>0</v>
      </c>
      <c r="G12" s="242">
        <f>G13+G14</f>
        <v>0</v>
      </c>
    </row>
    <row r="13" spans="1:7" ht="11.25" customHeight="1">
      <c r="A13" s="552" t="s">
        <v>246</v>
      </c>
      <c r="B13" s="552"/>
      <c r="C13" s="552"/>
      <c r="D13" s="553"/>
      <c r="E13" s="242"/>
      <c r="F13" s="242"/>
      <c r="G13" s="242"/>
    </row>
    <row r="14" spans="1:7" ht="11.25" customHeight="1">
      <c r="A14" s="552" t="s">
        <v>247</v>
      </c>
      <c r="B14" s="552"/>
      <c r="C14" s="552"/>
      <c r="D14" s="553"/>
      <c r="E14" s="242"/>
      <c r="F14" s="242"/>
      <c r="G14" s="242"/>
    </row>
    <row r="15" spans="1:7" ht="11.25" customHeight="1">
      <c r="A15" s="115" t="s">
        <v>315</v>
      </c>
      <c r="B15" s="116"/>
      <c r="C15" s="116"/>
      <c r="D15" s="117"/>
      <c r="E15" s="242"/>
      <c r="F15" s="242"/>
      <c r="G15" s="242"/>
    </row>
    <row r="16" spans="1:7" ht="11.25" customHeight="1">
      <c r="A16" s="552" t="s">
        <v>248</v>
      </c>
      <c r="B16" s="552"/>
      <c r="C16" s="552"/>
      <c r="D16" s="553"/>
      <c r="E16" s="242"/>
      <c r="F16" s="242"/>
      <c r="G16" s="242"/>
    </row>
    <row r="17" spans="1:7" ht="11.25" customHeight="1">
      <c r="A17" s="552" t="s">
        <v>249</v>
      </c>
      <c r="B17" s="552"/>
      <c r="C17" s="552"/>
      <c r="D17" s="553"/>
      <c r="E17" s="242"/>
      <c r="F17" s="242"/>
      <c r="G17" s="242"/>
    </row>
    <row r="18" spans="1:7" ht="11.25" customHeight="1">
      <c r="A18" s="552" t="s">
        <v>250</v>
      </c>
      <c r="B18" s="552"/>
      <c r="C18" s="552"/>
      <c r="D18" s="553"/>
      <c r="E18" s="242">
        <f>E19+E20</f>
        <v>0</v>
      </c>
      <c r="F18" s="242">
        <f>F19+F20</f>
        <v>0</v>
      </c>
      <c r="G18" s="242">
        <f>G19+G20</f>
        <v>0</v>
      </c>
    </row>
    <row r="19" spans="1:7" ht="11.25" customHeight="1">
      <c r="A19" s="569" t="s">
        <v>251</v>
      </c>
      <c r="B19" s="570"/>
      <c r="C19" s="570"/>
      <c r="D19" s="571"/>
      <c r="E19" s="242"/>
      <c r="F19" s="242"/>
      <c r="G19" s="242"/>
    </row>
    <row r="20" spans="1:7" ht="11.25" customHeight="1">
      <c r="A20" s="552" t="s">
        <v>252</v>
      </c>
      <c r="B20" s="552"/>
      <c r="C20" s="552"/>
      <c r="D20" s="553"/>
      <c r="E20" s="242"/>
      <c r="F20" s="242"/>
      <c r="G20" s="242"/>
    </row>
    <row r="21" spans="1:7" ht="11.25" customHeight="1">
      <c r="A21" s="556" t="s">
        <v>253</v>
      </c>
      <c r="B21" s="556"/>
      <c r="C21" s="556"/>
      <c r="D21" s="557"/>
      <c r="E21" s="241">
        <f>E22+E23+E24</f>
        <v>0</v>
      </c>
      <c r="F21" s="241">
        <f>F22+F23+F24</f>
        <v>0</v>
      </c>
      <c r="G21" s="241">
        <f>G22+G23+G24</f>
        <v>0</v>
      </c>
    </row>
    <row r="22" spans="1:7" ht="11.25" customHeight="1">
      <c r="A22" s="552" t="s">
        <v>316</v>
      </c>
      <c r="B22" s="552"/>
      <c r="C22" s="552"/>
      <c r="D22" s="553"/>
      <c r="E22" s="242"/>
      <c r="F22" s="242"/>
      <c r="G22" s="242"/>
    </row>
    <row r="23" spans="1:7" ht="11.25" customHeight="1">
      <c r="A23" s="115" t="s">
        <v>254</v>
      </c>
      <c r="B23" s="116"/>
      <c r="C23" s="116"/>
      <c r="D23" s="117"/>
      <c r="E23" s="242"/>
      <c r="F23" s="242"/>
      <c r="G23" s="242"/>
    </row>
    <row r="24" spans="1:7" ht="11.25" customHeight="1">
      <c r="A24" s="552" t="s">
        <v>255</v>
      </c>
      <c r="B24" s="552"/>
      <c r="C24" s="552"/>
      <c r="D24" s="553"/>
      <c r="E24" s="242"/>
      <c r="F24" s="242"/>
      <c r="G24" s="242"/>
    </row>
    <row r="25" spans="1:7" ht="11.25" customHeight="1">
      <c r="A25" s="235" t="s">
        <v>317</v>
      </c>
      <c r="B25" s="238"/>
      <c r="C25" s="238"/>
      <c r="D25" s="239"/>
      <c r="E25" s="241"/>
      <c r="F25" s="241"/>
      <c r="G25" s="241"/>
    </row>
    <row r="26" spans="1:7" ht="11.25" customHeight="1">
      <c r="A26" s="235" t="s">
        <v>318</v>
      </c>
      <c r="B26" s="238"/>
      <c r="C26" s="238"/>
      <c r="D26" s="239"/>
      <c r="E26" s="241">
        <f>E27+E37+E38</f>
        <v>0</v>
      </c>
      <c r="F26" s="241">
        <f>F27+F37+F38</f>
        <v>0</v>
      </c>
      <c r="G26" s="241">
        <f>G27+G37+G38</f>
        <v>0</v>
      </c>
    </row>
    <row r="27" spans="1:7" ht="11.25" customHeight="1">
      <c r="A27" s="556" t="s">
        <v>244</v>
      </c>
      <c r="B27" s="556"/>
      <c r="C27" s="556"/>
      <c r="D27" s="557"/>
      <c r="E27" s="241">
        <f>E28+E34+E35+E36</f>
        <v>0</v>
      </c>
      <c r="F27" s="241">
        <f>F28+F34+F35+F36</f>
        <v>0</v>
      </c>
      <c r="G27" s="241">
        <f>G28+G34+G35+G36</f>
        <v>0</v>
      </c>
    </row>
    <row r="28" spans="1:7" ht="11.25" customHeight="1">
      <c r="A28" s="552" t="s">
        <v>245</v>
      </c>
      <c r="B28" s="552"/>
      <c r="C28" s="552"/>
      <c r="D28" s="553"/>
      <c r="E28" s="242">
        <f>E29+E32+E33</f>
        <v>0</v>
      </c>
      <c r="F28" s="242">
        <f>F29+F32+F33</f>
        <v>0</v>
      </c>
      <c r="G28" s="242">
        <f>G29+G32+G33</f>
        <v>0</v>
      </c>
    </row>
    <row r="29" spans="1:7" ht="11.25" customHeight="1">
      <c r="A29" s="116" t="s">
        <v>319</v>
      </c>
      <c r="B29" s="116"/>
      <c r="C29" s="116"/>
      <c r="D29" s="117"/>
      <c r="E29" s="242">
        <f>E30+E31</f>
        <v>0</v>
      </c>
      <c r="F29" s="242">
        <f>F30+F31</f>
        <v>0</v>
      </c>
      <c r="G29" s="242">
        <f>G30+G31</f>
        <v>0</v>
      </c>
    </row>
    <row r="30" spans="1:7" ht="11.25" customHeight="1">
      <c r="A30" s="552" t="s">
        <v>320</v>
      </c>
      <c r="B30" s="552"/>
      <c r="C30" s="552"/>
      <c r="D30" s="553"/>
      <c r="E30" s="242"/>
      <c r="F30" s="242"/>
      <c r="G30" s="242"/>
    </row>
    <row r="31" spans="1:7" ht="11.25" customHeight="1">
      <c r="A31" s="552" t="s">
        <v>321</v>
      </c>
      <c r="B31" s="552"/>
      <c r="C31" s="552"/>
      <c r="D31" s="553"/>
      <c r="E31" s="242"/>
      <c r="F31" s="242"/>
      <c r="G31" s="242"/>
    </row>
    <row r="32" spans="1:7" ht="11.25" customHeight="1">
      <c r="A32" s="552" t="s">
        <v>322</v>
      </c>
      <c r="B32" s="552"/>
      <c r="C32" s="552"/>
      <c r="D32" s="553"/>
      <c r="E32" s="242"/>
      <c r="F32" s="242"/>
      <c r="G32" s="242"/>
    </row>
    <row r="33" spans="1:7" ht="11.25" customHeight="1">
      <c r="A33" s="552" t="s">
        <v>323</v>
      </c>
      <c r="B33" s="552"/>
      <c r="C33" s="552"/>
      <c r="D33" s="553"/>
      <c r="E33" s="242"/>
      <c r="F33" s="242"/>
      <c r="G33" s="242"/>
    </row>
    <row r="34" spans="1:7" ht="11.25" customHeight="1">
      <c r="A34" s="552" t="s">
        <v>248</v>
      </c>
      <c r="B34" s="552"/>
      <c r="C34" s="552"/>
      <c r="D34" s="553"/>
      <c r="E34" s="242"/>
      <c r="F34" s="242"/>
      <c r="G34" s="242"/>
    </row>
    <row r="35" spans="1:7" ht="11.25" customHeight="1">
      <c r="A35" s="115" t="s">
        <v>249</v>
      </c>
      <c r="B35" s="116"/>
      <c r="C35" s="116"/>
      <c r="D35" s="117"/>
      <c r="E35" s="242"/>
      <c r="F35" s="242"/>
      <c r="G35" s="242"/>
    </row>
    <row r="36" spans="1:7" ht="11.25" customHeight="1">
      <c r="A36" s="552" t="s">
        <v>250</v>
      </c>
      <c r="B36" s="552"/>
      <c r="C36" s="552"/>
      <c r="D36" s="553"/>
      <c r="E36" s="242"/>
      <c r="F36" s="242"/>
      <c r="G36" s="242"/>
    </row>
    <row r="37" spans="1:7" ht="11.25" customHeight="1">
      <c r="A37" s="556" t="s">
        <v>253</v>
      </c>
      <c r="B37" s="556"/>
      <c r="C37" s="556"/>
      <c r="D37" s="557"/>
      <c r="E37" s="241"/>
      <c r="F37" s="241"/>
      <c r="G37" s="241"/>
    </row>
    <row r="38" spans="1:7" ht="11.25" customHeight="1">
      <c r="A38" s="556" t="s">
        <v>317</v>
      </c>
      <c r="B38" s="556"/>
      <c r="C38" s="556"/>
      <c r="D38" s="557"/>
      <c r="E38" s="241"/>
      <c r="F38" s="241"/>
      <c r="G38" s="241"/>
    </row>
    <row r="39" spans="1:7" ht="11.25" customHeight="1">
      <c r="A39" s="560" t="s">
        <v>324</v>
      </c>
      <c r="B39" s="560"/>
      <c r="C39" s="560"/>
      <c r="D39" s="561"/>
      <c r="E39" s="243">
        <f>E10+E26</f>
        <v>0</v>
      </c>
      <c r="F39" s="243">
        <f>F10+F26</f>
        <v>0</v>
      </c>
      <c r="G39" s="243">
        <f>G10+G26</f>
        <v>0</v>
      </c>
    </row>
    <row r="40" spans="1:7" s="114" customFormat="1" ht="11.25" customHeight="1">
      <c r="A40" s="228"/>
      <c r="B40" s="228"/>
      <c r="C40" s="228"/>
      <c r="D40" s="228"/>
      <c r="E40" s="229"/>
      <c r="F40" s="229"/>
      <c r="G40" s="229"/>
    </row>
    <row r="41" spans="1:7" s="114" customFormat="1" ht="11.25" customHeight="1">
      <c r="A41" s="564" t="s">
        <v>325</v>
      </c>
      <c r="B41" s="565"/>
      <c r="C41" s="565"/>
      <c r="D41" s="566"/>
      <c r="E41" s="562">
        <v>2014</v>
      </c>
      <c r="F41" s="562">
        <f>E41+1</f>
        <v>2015</v>
      </c>
      <c r="G41" s="562">
        <f>F41+1</f>
        <v>2016</v>
      </c>
    </row>
    <row r="42" spans="1:7" ht="11.25" customHeight="1">
      <c r="A42" s="567"/>
      <c r="B42" s="567"/>
      <c r="C42" s="567"/>
      <c r="D42" s="568"/>
      <c r="E42" s="563"/>
      <c r="F42" s="563"/>
      <c r="G42" s="563"/>
    </row>
    <row r="43" spans="1:7" ht="11.25" customHeight="1">
      <c r="A43" s="235" t="s">
        <v>326</v>
      </c>
      <c r="B43" s="244"/>
      <c r="C43" s="244"/>
      <c r="D43" s="245"/>
      <c r="E43" s="240">
        <f>E44+E47</f>
        <v>0</v>
      </c>
      <c r="F43" s="240">
        <f>F44+F47</f>
        <v>0</v>
      </c>
      <c r="G43" s="240">
        <f>G44+G47</f>
        <v>0</v>
      </c>
    </row>
    <row r="44" spans="1:7" ht="11.25" customHeight="1">
      <c r="A44" s="556" t="s">
        <v>256</v>
      </c>
      <c r="B44" s="556"/>
      <c r="C44" s="556"/>
      <c r="D44" s="557"/>
      <c r="E44" s="241">
        <f>E45+E46</f>
        <v>0</v>
      </c>
      <c r="F44" s="241">
        <f>F45+F46</f>
        <v>0</v>
      </c>
      <c r="G44" s="241">
        <f>G45+G46</f>
        <v>0</v>
      </c>
    </row>
    <row r="45" spans="1:7" ht="11.25" customHeight="1">
      <c r="A45" s="552" t="s">
        <v>257</v>
      </c>
      <c r="B45" s="552"/>
      <c r="C45" s="552"/>
      <c r="D45" s="553"/>
      <c r="E45" s="242"/>
      <c r="F45" s="242"/>
      <c r="G45" s="242"/>
    </row>
    <row r="46" spans="1:7" ht="11.25" customHeight="1">
      <c r="A46" s="552" t="s">
        <v>258</v>
      </c>
      <c r="B46" s="552"/>
      <c r="C46" s="552"/>
      <c r="D46" s="553"/>
      <c r="E46" s="242"/>
      <c r="F46" s="242"/>
      <c r="G46" s="242"/>
    </row>
    <row r="47" spans="1:7" ht="11.25" customHeight="1">
      <c r="A47" s="556" t="s">
        <v>327</v>
      </c>
      <c r="B47" s="556"/>
      <c r="C47" s="556"/>
      <c r="D47" s="557"/>
      <c r="E47" s="241">
        <f>E48+E49+E50</f>
        <v>0</v>
      </c>
      <c r="F47" s="241">
        <f>F48+F49+F50</f>
        <v>0</v>
      </c>
      <c r="G47" s="241">
        <f>G48+G49+G50</f>
        <v>0</v>
      </c>
    </row>
    <row r="48" spans="1:7" ht="11.25" customHeight="1">
      <c r="A48" s="552" t="s">
        <v>147</v>
      </c>
      <c r="B48" s="552"/>
      <c r="C48" s="552"/>
      <c r="D48" s="553"/>
      <c r="E48" s="242"/>
      <c r="F48" s="242"/>
      <c r="G48" s="242"/>
    </row>
    <row r="49" spans="1:7" ht="11.25" customHeight="1">
      <c r="A49" s="552" t="s">
        <v>259</v>
      </c>
      <c r="B49" s="552"/>
      <c r="C49" s="552"/>
      <c r="D49" s="553"/>
      <c r="E49" s="242"/>
      <c r="F49" s="242"/>
      <c r="G49" s="242"/>
    </row>
    <row r="50" spans="1:7" ht="11.25" customHeight="1">
      <c r="A50" s="552" t="s">
        <v>260</v>
      </c>
      <c r="B50" s="552"/>
      <c r="C50" s="552"/>
      <c r="D50" s="553"/>
      <c r="E50" s="242">
        <f>E51+E52</f>
        <v>0</v>
      </c>
      <c r="F50" s="242">
        <f>F51+F52</f>
        <v>0</v>
      </c>
      <c r="G50" s="242">
        <f>G51+G52</f>
        <v>0</v>
      </c>
    </row>
    <row r="51" spans="1:7" s="114" customFormat="1" ht="11.25" customHeight="1">
      <c r="A51" s="552" t="s">
        <v>261</v>
      </c>
      <c r="B51" s="552"/>
      <c r="C51" s="552"/>
      <c r="D51" s="553"/>
      <c r="E51" s="242"/>
      <c r="F51" s="242"/>
      <c r="G51" s="242"/>
    </row>
    <row r="52" spans="1:7" ht="11.25" customHeight="1">
      <c r="A52" s="552" t="s">
        <v>262</v>
      </c>
      <c r="B52" s="552"/>
      <c r="C52" s="552"/>
      <c r="D52" s="553"/>
      <c r="E52" s="242"/>
      <c r="F52" s="242"/>
      <c r="G52" s="242"/>
    </row>
    <row r="53" spans="1:7" ht="11.25" customHeight="1">
      <c r="A53" s="235" t="s">
        <v>328</v>
      </c>
      <c r="B53" s="244"/>
      <c r="C53" s="244"/>
      <c r="D53" s="245"/>
      <c r="E53" s="240">
        <f>E54</f>
        <v>0</v>
      </c>
      <c r="F53" s="240">
        <f>F54</f>
        <v>0</v>
      </c>
      <c r="G53" s="240">
        <f>G54</f>
        <v>0</v>
      </c>
    </row>
    <row r="54" spans="1:7" ht="11.25" customHeight="1">
      <c r="A54" s="556" t="s">
        <v>256</v>
      </c>
      <c r="B54" s="556"/>
      <c r="C54" s="556"/>
      <c r="D54" s="557"/>
      <c r="E54" s="241">
        <f>E55+E56</f>
        <v>0</v>
      </c>
      <c r="F54" s="241">
        <f>F55+F56</f>
        <v>0</v>
      </c>
      <c r="G54" s="241">
        <f>G55+G56</f>
        <v>0</v>
      </c>
    </row>
    <row r="55" spans="1:7" ht="11.25" customHeight="1">
      <c r="A55" s="552" t="s">
        <v>257</v>
      </c>
      <c r="B55" s="552"/>
      <c r="C55" s="552"/>
      <c r="D55" s="553"/>
      <c r="E55" s="242"/>
      <c r="F55" s="242"/>
      <c r="G55" s="242"/>
    </row>
    <row r="56" spans="1:7" ht="11.25" customHeight="1">
      <c r="A56" s="558" t="s">
        <v>258</v>
      </c>
      <c r="B56" s="558"/>
      <c r="C56" s="558"/>
      <c r="D56" s="559"/>
      <c r="E56" s="246"/>
      <c r="F56" s="246"/>
      <c r="G56" s="246"/>
    </row>
    <row r="57" spans="1:7" ht="11.25" customHeight="1">
      <c r="A57" s="560" t="s">
        <v>329</v>
      </c>
      <c r="B57" s="560"/>
      <c r="C57" s="560"/>
      <c r="D57" s="561"/>
      <c r="E57" s="248">
        <f>E43+E53</f>
        <v>0</v>
      </c>
      <c r="F57" s="248">
        <f>F43+F53</f>
        <v>0</v>
      </c>
      <c r="G57" s="248">
        <f>G43+G53</f>
        <v>0</v>
      </c>
    </row>
    <row r="58" spans="1:7" ht="11.25" customHeight="1">
      <c r="A58" s="220"/>
      <c r="B58" s="220"/>
      <c r="C58" s="220"/>
      <c r="D58" s="220"/>
      <c r="E58" s="247"/>
      <c r="F58" s="247"/>
      <c r="G58" s="247"/>
    </row>
    <row r="59" spans="1:7" ht="11.25" customHeight="1">
      <c r="A59" s="554" t="s">
        <v>330</v>
      </c>
      <c r="B59" s="554"/>
      <c r="C59" s="554"/>
      <c r="D59" s="555"/>
      <c r="E59" s="249">
        <f>E39-E57</f>
        <v>0</v>
      </c>
      <c r="F59" s="249">
        <f>F39-F57</f>
        <v>0</v>
      </c>
      <c r="G59" s="249">
        <f>G39-G57</f>
        <v>0</v>
      </c>
    </row>
    <row r="60" spans="1:7" ht="11.25" customHeight="1">
      <c r="A60" s="220"/>
      <c r="B60" s="220"/>
      <c r="C60" s="220"/>
      <c r="D60" s="220"/>
      <c r="E60" s="230"/>
      <c r="F60" s="230"/>
      <c r="G60" s="230"/>
    </row>
    <row r="61" spans="1:7" ht="11.25" customHeight="1">
      <c r="A61" s="586" t="s">
        <v>331</v>
      </c>
      <c r="B61" s="587"/>
      <c r="C61" s="587"/>
      <c r="D61" s="588"/>
      <c r="E61" s="562">
        <v>2014</v>
      </c>
      <c r="F61" s="562">
        <f>E61+1</f>
        <v>2015</v>
      </c>
      <c r="G61" s="562">
        <f>F61+1</f>
        <v>2016</v>
      </c>
    </row>
    <row r="62" spans="1:7" ht="11.25" customHeight="1">
      <c r="A62" s="589"/>
      <c r="B62" s="589"/>
      <c r="C62" s="589"/>
      <c r="D62" s="590"/>
      <c r="E62" s="563"/>
      <c r="F62" s="563"/>
      <c r="G62" s="563"/>
    </row>
    <row r="63" spans="1:7" ht="11.25" customHeight="1">
      <c r="A63" s="231" t="s">
        <v>332</v>
      </c>
      <c r="B63" s="228"/>
      <c r="C63" s="228"/>
      <c r="D63" s="232"/>
      <c r="E63" s="347">
        <f>E64+E68</f>
        <v>0</v>
      </c>
      <c r="F63" s="242">
        <f>F64+F68</f>
        <v>0</v>
      </c>
      <c r="G63" s="242">
        <f>G64+G68</f>
        <v>0</v>
      </c>
    </row>
    <row r="64" spans="1:7" ht="11.25" customHeight="1">
      <c r="A64" s="115" t="s">
        <v>333</v>
      </c>
      <c r="B64" s="116"/>
      <c r="C64" s="116"/>
      <c r="D64" s="117"/>
      <c r="E64" s="242">
        <f>E65+E66+E67</f>
        <v>0</v>
      </c>
      <c r="F64" s="242">
        <f>F65+F66+F67</f>
        <v>0</v>
      </c>
      <c r="G64" s="242">
        <f>G65+G66+G67</f>
        <v>0</v>
      </c>
    </row>
    <row r="65" spans="1:7" ht="11.25" customHeight="1">
      <c r="A65" s="115" t="s">
        <v>334</v>
      </c>
      <c r="B65" s="116"/>
      <c r="C65" s="116"/>
      <c r="D65" s="117"/>
      <c r="E65" s="242"/>
      <c r="F65" s="242"/>
      <c r="G65" s="242"/>
    </row>
    <row r="66" spans="1:7" ht="11.25" customHeight="1">
      <c r="A66" s="115" t="s">
        <v>335</v>
      </c>
      <c r="B66" s="116"/>
      <c r="C66" s="116"/>
      <c r="D66" s="117"/>
      <c r="E66" s="242"/>
      <c r="F66" s="242"/>
      <c r="G66" s="242"/>
    </row>
    <row r="67" spans="1:7" ht="11.25" customHeight="1">
      <c r="A67" s="115" t="s">
        <v>336</v>
      </c>
      <c r="B67" s="116"/>
      <c r="C67" s="116"/>
      <c r="D67" s="117"/>
      <c r="E67" s="242"/>
      <c r="F67" s="242"/>
      <c r="G67" s="242"/>
    </row>
    <row r="68" spans="1:7" ht="11.25" customHeight="1">
      <c r="A68" s="115" t="s">
        <v>337</v>
      </c>
      <c r="B68" s="116"/>
      <c r="C68" s="116"/>
      <c r="D68" s="117"/>
      <c r="E68" s="242">
        <f>E69+E70+E71</f>
        <v>0</v>
      </c>
      <c r="F68" s="242">
        <f>F69+F70+F71</f>
        <v>0</v>
      </c>
      <c r="G68" s="242">
        <f>G69+G70+G71</f>
        <v>0</v>
      </c>
    </row>
    <row r="69" spans="1:7" ht="11.25" customHeight="1">
      <c r="A69" s="115" t="s">
        <v>338</v>
      </c>
      <c r="B69" s="116"/>
      <c r="C69" s="116"/>
      <c r="D69" s="117"/>
      <c r="E69" s="242"/>
      <c r="F69" s="242"/>
      <c r="G69" s="242"/>
    </row>
    <row r="70" spans="1:7" ht="11.25" customHeight="1">
      <c r="A70" s="115" t="s">
        <v>339</v>
      </c>
      <c r="B70" s="116"/>
      <c r="C70" s="116"/>
      <c r="D70" s="117"/>
      <c r="E70" s="242"/>
      <c r="F70" s="242"/>
      <c r="G70" s="242"/>
    </row>
    <row r="71" spans="1:7" ht="11.25" customHeight="1">
      <c r="A71" s="233" t="s">
        <v>336</v>
      </c>
      <c r="B71" s="218"/>
      <c r="C71" s="218"/>
      <c r="D71" s="219"/>
      <c r="E71" s="246"/>
      <c r="F71" s="246"/>
      <c r="G71" s="246"/>
    </row>
    <row r="72" spans="1:7" ht="11.25" customHeight="1">
      <c r="A72" s="220"/>
      <c r="B72" s="220"/>
      <c r="C72" s="220"/>
      <c r="D72" s="220"/>
      <c r="E72" s="230"/>
      <c r="F72" s="230"/>
      <c r="G72" s="230"/>
    </row>
    <row r="73" spans="1:7" ht="11.25" customHeight="1">
      <c r="A73" s="234" t="s">
        <v>340</v>
      </c>
      <c r="B73" s="220"/>
      <c r="C73" s="220"/>
      <c r="D73" s="221"/>
      <c r="E73" s="332"/>
      <c r="F73" s="333"/>
      <c r="G73" s="333"/>
    </row>
    <row r="74" spans="1:7" ht="11.25" customHeight="1">
      <c r="A74" s="582" t="s">
        <v>341</v>
      </c>
      <c r="B74" s="582"/>
      <c r="C74" s="582"/>
      <c r="D74" s="583"/>
      <c r="E74" s="334"/>
      <c r="F74" s="287"/>
      <c r="G74" s="287"/>
    </row>
    <row r="75" spans="1:7" ht="11.25" customHeight="1">
      <c r="A75" s="584" t="s">
        <v>390</v>
      </c>
      <c r="B75" s="585"/>
      <c r="C75" s="585"/>
      <c r="D75" s="585"/>
      <c r="E75" s="585"/>
      <c r="F75" s="585"/>
      <c r="G75" s="585"/>
    </row>
  </sheetData>
  <sheetProtection/>
  <mergeCells count="58">
    <mergeCell ref="A7:D7"/>
    <mergeCell ref="A12:D12"/>
    <mergeCell ref="A8:D9"/>
    <mergeCell ref="A74:D74"/>
    <mergeCell ref="A75:G75"/>
    <mergeCell ref="A61:D62"/>
    <mergeCell ref="E61:E62"/>
    <mergeCell ref="F61:F62"/>
    <mergeCell ref="G61:G62"/>
    <mergeCell ref="E8:E9"/>
    <mergeCell ref="A1:G1"/>
    <mergeCell ref="A2:G2"/>
    <mergeCell ref="A3:G3"/>
    <mergeCell ref="A4:G4"/>
    <mergeCell ref="A5:G5"/>
    <mergeCell ref="A6:G6"/>
    <mergeCell ref="F8:F9"/>
    <mergeCell ref="G8:G9"/>
    <mergeCell ref="A11:D11"/>
    <mergeCell ref="A13:D13"/>
    <mergeCell ref="A14:D14"/>
    <mergeCell ref="A16:D16"/>
    <mergeCell ref="A17:D17"/>
    <mergeCell ref="A18:D18"/>
    <mergeCell ref="A19:D19"/>
    <mergeCell ref="A21:D21"/>
    <mergeCell ref="A20:D20"/>
    <mergeCell ref="A30:D30"/>
    <mergeCell ref="A31:D31"/>
    <mergeCell ref="A32:D32"/>
    <mergeCell ref="A34:D34"/>
    <mergeCell ref="A33:D33"/>
    <mergeCell ref="A22:D22"/>
    <mergeCell ref="A24:D24"/>
    <mergeCell ref="A27:D27"/>
    <mergeCell ref="A28:D28"/>
    <mergeCell ref="A36:D36"/>
    <mergeCell ref="A38:D38"/>
    <mergeCell ref="A37:D37"/>
    <mergeCell ref="A39:D39"/>
    <mergeCell ref="A41:D42"/>
    <mergeCell ref="E41:E42"/>
    <mergeCell ref="F41:F42"/>
    <mergeCell ref="G41:G42"/>
    <mergeCell ref="A44:D44"/>
    <mergeCell ref="A45:D45"/>
    <mergeCell ref="A46:D46"/>
    <mergeCell ref="A47:D47"/>
    <mergeCell ref="A48:D48"/>
    <mergeCell ref="A49:D49"/>
    <mergeCell ref="A50:D50"/>
    <mergeCell ref="A52:D52"/>
    <mergeCell ref="A51:D51"/>
    <mergeCell ref="A59:D59"/>
    <mergeCell ref="A54:D54"/>
    <mergeCell ref="A56:D56"/>
    <mergeCell ref="A57:D57"/>
    <mergeCell ref="A55:D5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7" sqref="E27"/>
    </sheetView>
  </sheetViews>
  <sheetFormatPr defaultColWidth="9.140625" defaultRowHeight="11.25" customHeight="1"/>
  <cols>
    <col min="1" max="3" width="12.8515625" style="111" customWidth="1"/>
    <col min="4" max="4" width="24.00390625" style="111" customWidth="1"/>
    <col min="5" max="6" width="12.8515625" style="111" customWidth="1"/>
    <col min="7" max="7" width="14.28125" style="111" customWidth="1"/>
    <col min="8" max="8" width="12.8515625" style="111" customWidth="1"/>
    <col min="9" max="16384" width="9.140625" style="111" customWidth="1"/>
  </cols>
  <sheetData>
    <row r="1" spans="1:7" s="114" customFormat="1" ht="11.25" customHeight="1">
      <c r="A1" s="572" t="str">
        <f>Parâmetros!A7</f>
        <v>Município de Barra do Quaraí</v>
      </c>
      <c r="B1" s="575"/>
      <c r="C1" s="575"/>
      <c r="D1" s="575"/>
      <c r="E1" s="575"/>
      <c r="F1" s="575"/>
      <c r="G1" s="575"/>
    </row>
    <row r="2" spans="1:8" ht="11.25" customHeight="1">
      <c r="A2" s="573" t="s">
        <v>42</v>
      </c>
      <c r="B2" s="575"/>
      <c r="C2" s="575"/>
      <c r="D2" s="575"/>
      <c r="E2" s="575"/>
      <c r="F2" s="575"/>
      <c r="G2" s="575"/>
      <c r="H2" s="118"/>
    </row>
    <row r="3" spans="1:8" ht="11.25" customHeight="1">
      <c r="A3" s="573" t="s">
        <v>243</v>
      </c>
      <c r="B3" s="575"/>
      <c r="C3" s="575"/>
      <c r="D3" s="575"/>
      <c r="E3" s="575"/>
      <c r="F3" s="575"/>
      <c r="G3" s="575"/>
      <c r="H3" s="118"/>
    </row>
    <row r="4" spans="1:8" ht="11.25" customHeight="1">
      <c r="A4" s="573" t="s">
        <v>263</v>
      </c>
      <c r="B4" s="575"/>
      <c r="C4" s="575"/>
      <c r="D4" s="575"/>
      <c r="E4" s="575"/>
      <c r="F4" s="575"/>
      <c r="G4" s="575"/>
      <c r="H4" s="118"/>
    </row>
    <row r="5" spans="1:8" ht="11.25" customHeight="1">
      <c r="A5" s="573" t="s">
        <v>416</v>
      </c>
      <c r="B5" s="575"/>
      <c r="C5" s="575"/>
      <c r="D5" s="575"/>
      <c r="E5" s="575"/>
      <c r="F5" s="575"/>
      <c r="G5" s="575"/>
      <c r="H5" s="118"/>
    </row>
    <row r="6" spans="1:8" ht="11.25" customHeight="1">
      <c r="A6" s="119"/>
      <c r="B6" s="119"/>
      <c r="C6" s="119"/>
      <c r="D6" s="119"/>
      <c r="E6" s="119"/>
      <c r="F6" s="119"/>
      <c r="G6" s="119"/>
      <c r="H6" s="119"/>
    </row>
    <row r="7" spans="1:7" ht="11.25" customHeight="1">
      <c r="A7" s="115" t="s">
        <v>264</v>
      </c>
      <c r="B7" s="116"/>
      <c r="C7" s="116"/>
      <c r="D7" s="116"/>
      <c r="E7" s="120"/>
      <c r="F7" s="120"/>
      <c r="G7" s="121">
        <v>1</v>
      </c>
    </row>
    <row r="8" spans="1:7" ht="11.25" customHeight="1">
      <c r="A8" s="122" t="s">
        <v>149</v>
      </c>
      <c r="B8" s="605" t="s">
        <v>146</v>
      </c>
      <c r="C8" s="606"/>
      <c r="D8" s="123" t="s">
        <v>148</v>
      </c>
      <c r="E8" s="605" t="s">
        <v>265</v>
      </c>
      <c r="F8" s="606"/>
      <c r="G8" s="124" t="s">
        <v>145</v>
      </c>
    </row>
    <row r="9" spans="1:7" ht="11.25" customHeight="1">
      <c r="A9" s="125"/>
      <c r="B9" s="126"/>
      <c r="C9" s="127"/>
      <c r="D9" s="126"/>
      <c r="E9" s="126"/>
      <c r="F9" s="128"/>
      <c r="G9" s="129" t="s">
        <v>266</v>
      </c>
    </row>
    <row r="10" spans="1:7" ht="11.25" customHeight="1">
      <c r="A10" s="130"/>
      <c r="B10" s="603" t="s">
        <v>105</v>
      </c>
      <c r="C10" s="604"/>
      <c r="D10" s="131" t="s">
        <v>107</v>
      </c>
      <c r="E10" s="603" t="s">
        <v>267</v>
      </c>
      <c r="F10" s="604"/>
      <c r="G10" s="132" t="s">
        <v>268</v>
      </c>
    </row>
    <row r="11" spans="1:7" ht="11.25" customHeight="1">
      <c r="A11" s="133"/>
      <c r="B11" s="134"/>
      <c r="C11" s="135"/>
      <c r="D11" s="136"/>
      <c r="E11" s="136"/>
      <c r="F11" s="137"/>
      <c r="G11" s="138" t="s">
        <v>269</v>
      </c>
    </row>
    <row r="12" spans="1:7" ht="11.25" customHeight="1">
      <c r="A12" s="139"/>
      <c r="B12" s="597"/>
      <c r="C12" s="598"/>
      <c r="D12" s="288"/>
      <c r="E12" s="599">
        <f aca="true" t="shared" si="0" ref="E12:E17">B12-D12</f>
        <v>0</v>
      </c>
      <c r="F12" s="600"/>
      <c r="G12" s="288"/>
    </row>
    <row r="13" spans="1:7" ht="11.25" customHeight="1">
      <c r="A13" s="139"/>
      <c r="B13" s="595"/>
      <c r="C13" s="596"/>
      <c r="D13" s="289"/>
      <c r="E13" s="601">
        <f t="shared" si="0"/>
        <v>0</v>
      </c>
      <c r="F13" s="602"/>
      <c r="G13" s="289">
        <f>G12+E13</f>
        <v>0</v>
      </c>
    </row>
    <row r="14" spans="1:7" ht="11.25" customHeight="1">
      <c r="A14" s="139"/>
      <c r="B14" s="595"/>
      <c r="C14" s="596"/>
      <c r="D14" s="289"/>
      <c r="E14" s="601">
        <f t="shared" si="0"/>
        <v>0</v>
      </c>
      <c r="F14" s="602"/>
      <c r="G14" s="289">
        <f>G13+E14</f>
        <v>0</v>
      </c>
    </row>
    <row r="15" spans="1:7" ht="11.25" customHeight="1">
      <c r="A15" s="139"/>
      <c r="B15" s="595"/>
      <c r="C15" s="596"/>
      <c r="D15" s="289"/>
      <c r="E15" s="601">
        <f t="shared" si="0"/>
        <v>0</v>
      </c>
      <c r="F15" s="602"/>
      <c r="G15" s="289">
        <f>G14+E15</f>
        <v>0</v>
      </c>
    </row>
    <row r="16" spans="1:7" ht="11.25" customHeight="1">
      <c r="A16" s="139"/>
      <c r="B16" s="591"/>
      <c r="C16" s="592"/>
      <c r="D16" s="290"/>
      <c r="E16" s="593">
        <f t="shared" si="0"/>
        <v>0</v>
      </c>
      <c r="F16" s="594"/>
      <c r="G16" s="290">
        <f>G15+E16</f>
        <v>0</v>
      </c>
    </row>
    <row r="17" spans="1:7" ht="11.25" customHeight="1">
      <c r="A17" s="139"/>
      <c r="B17" s="591"/>
      <c r="C17" s="592"/>
      <c r="D17" s="290"/>
      <c r="E17" s="593">
        <f t="shared" si="0"/>
        <v>0</v>
      </c>
      <c r="F17" s="594"/>
      <c r="G17" s="290">
        <f>G16+E17</f>
        <v>0</v>
      </c>
    </row>
    <row r="18" spans="1:7" ht="11.25" customHeight="1">
      <c r="A18" s="139" t="s">
        <v>385</v>
      </c>
      <c r="B18" s="591"/>
      <c r="C18" s="592"/>
      <c r="D18" s="290"/>
      <c r="E18" s="593"/>
      <c r="F18" s="594"/>
      <c r="G18" s="290"/>
    </row>
    <row r="19" spans="1:7" ht="11.25" customHeight="1">
      <c r="A19" s="139" t="s">
        <v>385</v>
      </c>
      <c r="B19" s="591"/>
      <c r="C19" s="592"/>
      <c r="D19" s="290"/>
      <c r="E19" s="593"/>
      <c r="F19" s="594"/>
      <c r="G19" s="290"/>
    </row>
    <row r="20" spans="1:7" ht="11.25" customHeight="1">
      <c r="A20" s="139"/>
      <c r="B20" s="591"/>
      <c r="C20" s="592"/>
      <c r="D20" s="290"/>
      <c r="E20" s="593"/>
      <c r="F20" s="594"/>
      <c r="G20" s="290"/>
    </row>
    <row r="21" spans="1:7" ht="11.25" customHeight="1">
      <c r="A21" s="139"/>
      <c r="B21" s="591"/>
      <c r="C21" s="592"/>
      <c r="D21" s="290"/>
      <c r="E21" s="593"/>
      <c r="F21" s="594"/>
      <c r="G21" s="290"/>
    </row>
    <row r="22" ht="11.25" customHeight="1">
      <c r="A22" s="328" t="s">
        <v>392</v>
      </c>
    </row>
  </sheetData>
  <sheetProtection/>
  <mergeCells count="29">
    <mergeCell ref="A1:G1"/>
    <mergeCell ref="A2:G2"/>
    <mergeCell ref="B10:C10"/>
    <mergeCell ref="E10:F10"/>
    <mergeCell ref="A3:G3"/>
    <mergeCell ref="A4:G4"/>
    <mergeCell ref="A5:G5"/>
    <mergeCell ref="B8:C8"/>
    <mergeCell ref="E8:F8"/>
    <mergeCell ref="B12:C12"/>
    <mergeCell ref="E12:F12"/>
    <mergeCell ref="B13:C13"/>
    <mergeCell ref="E13:F13"/>
    <mergeCell ref="E14:F14"/>
    <mergeCell ref="B15:C15"/>
    <mergeCell ref="E15:F15"/>
    <mergeCell ref="B16:C16"/>
    <mergeCell ref="E16:F16"/>
    <mergeCell ref="B14:C14"/>
    <mergeCell ref="B17:C17"/>
    <mergeCell ref="E17:F17"/>
    <mergeCell ref="B18:C18"/>
    <mergeCell ref="E18:F18"/>
    <mergeCell ref="B21:C21"/>
    <mergeCell ref="E21:F21"/>
    <mergeCell ref="B19:C19"/>
    <mergeCell ref="E19:F19"/>
    <mergeCell ref="B20:C20"/>
    <mergeCell ref="E20:F20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0"/>
  <sheetViews>
    <sheetView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6" ht="12.75">
      <c r="A1" s="464" t="str">
        <f>Parâmetros!A7</f>
        <v>Município de Barra do Quaraí</v>
      </c>
      <c r="B1" s="465"/>
      <c r="C1" s="465"/>
      <c r="D1" s="465"/>
      <c r="E1" s="465"/>
      <c r="F1" s="466"/>
    </row>
    <row r="2" spans="1:6" ht="12.75">
      <c r="A2" s="467" t="s">
        <v>42</v>
      </c>
      <c r="B2" s="465"/>
      <c r="C2" s="465"/>
      <c r="D2" s="465"/>
      <c r="E2" s="465"/>
      <c r="F2" s="466"/>
    </row>
    <row r="3" spans="1:6" ht="12.75">
      <c r="A3" s="467" t="s">
        <v>175</v>
      </c>
      <c r="B3" s="465"/>
      <c r="C3" s="465"/>
      <c r="D3" s="465"/>
      <c r="E3" s="465"/>
      <c r="F3" s="466"/>
    </row>
    <row r="4" spans="1:6" ht="12.75">
      <c r="A4" s="449" t="s">
        <v>187</v>
      </c>
      <c r="B4" s="447"/>
      <c r="C4" s="447"/>
      <c r="D4" s="447"/>
      <c r="E4" s="447"/>
      <c r="F4" s="448"/>
    </row>
    <row r="5" spans="1:6" ht="12.75">
      <c r="A5" s="467" t="s">
        <v>413</v>
      </c>
      <c r="B5" s="465"/>
      <c r="C5" s="465"/>
      <c r="D5" s="465"/>
      <c r="E5" s="465"/>
      <c r="F5" s="466"/>
    </row>
    <row r="6" spans="1:6" ht="12.75">
      <c r="A6" s="467"/>
      <c r="B6" s="465"/>
      <c r="C6" s="465"/>
      <c r="D6" s="465"/>
      <c r="E6" s="465"/>
      <c r="F6" s="466"/>
    </row>
    <row r="7" spans="1:7" s="111" customFormat="1" ht="11.25" customHeight="1">
      <c r="A7" s="150" t="s">
        <v>291</v>
      </c>
      <c r="B7" s="151"/>
      <c r="C7" s="151"/>
      <c r="D7" s="151"/>
      <c r="E7" s="151"/>
      <c r="F7" s="152"/>
      <c r="G7" s="153">
        <v>1</v>
      </c>
    </row>
    <row r="8" spans="1:7" s="114" customFormat="1" ht="11.25" customHeight="1">
      <c r="A8" s="609" t="s">
        <v>277</v>
      </c>
      <c r="B8" s="509" t="s">
        <v>278</v>
      </c>
      <c r="C8" s="506" t="s">
        <v>279</v>
      </c>
      <c r="D8" s="509" t="s">
        <v>150</v>
      </c>
      <c r="E8" s="615"/>
      <c r="F8" s="609"/>
      <c r="G8" s="509" t="s">
        <v>151</v>
      </c>
    </row>
    <row r="9" spans="1:7" s="114" customFormat="1" ht="11.25" customHeight="1">
      <c r="A9" s="610"/>
      <c r="B9" s="612"/>
      <c r="C9" s="613"/>
      <c r="D9" s="510"/>
      <c r="E9" s="616"/>
      <c r="F9" s="611"/>
      <c r="G9" s="612"/>
    </row>
    <row r="10" spans="1:7" s="111" customFormat="1" ht="24" customHeight="1">
      <c r="A10" s="611"/>
      <c r="B10" s="510"/>
      <c r="C10" s="614"/>
      <c r="D10" s="154">
        <v>2016</v>
      </c>
      <c r="E10" s="154">
        <f>D10+1</f>
        <v>2017</v>
      </c>
      <c r="F10" s="154">
        <f>E10+1</f>
        <v>2018</v>
      </c>
      <c r="G10" s="510"/>
    </row>
    <row r="11" spans="1:7" s="111" customFormat="1" ht="26.25" customHeight="1">
      <c r="A11" s="155"/>
      <c r="B11" s="155"/>
      <c r="C11" s="155"/>
      <c r="D11" s="156">
        <v>0</v>
      </c>
      <c r="E11" s="156" t="e">
        <f>D11*(1+#REF!)</f>
        <v>#REF!</v>
      </c>
      <c r="F11" s="156" t="e">
        <f>E11*(1+#REF!)</f>
        <v>#REF!</v>
      </c>
      <c r="G11" s="617" t="s">
        <v>281</v>
      </c>
    </row>
    <row r="12" spans="1:7" s="111" customFormat="1" ht="42" customHeight="1">
      <c r="A12" s="155"/>
      <c r="B12" s="155"/>
      <c r="C12" s="155"/>
      <c r="D12" s="156">
        <v>0</v>
      </c>
      <c r="E12" s="156">
        <f>D12</f>
        <v>0</v>
      </c>
      <c r="F12" s="156" t="e">
        <f>E12*(1+#REF!)</f>
        <v>#REF!</v>
      </c>
      <c r="G12" s="618"/>
    </row>
    <row r="13" spans="1:7" s="111" customFormat="1" ht="30.75" customHeight="1">
      <c r="A13" s="155"/>
      <c r="B13" s="155"/>
      <c r="C13" s="155"/>
      <c r="D13" s="156"/>
      <c r="E13" s="156" t="e">
        <f>D13*(1+#REF!)</f>
        <v>#REF!</v>
      </c>
      <c r="F13" s="156" t="e">
        <f>E13*(1+#REF!)</f>
        <v>#REF!</v>
      </c>
      <c r="G13" s="161" t="s">
        <v>282</v>
      </c>
    </row>
    <row r="14" spans="1:7" s="111" customFormat="1" ht="11.25" customHeight="1">
      <c r="A14" s="155"/>
      <c r="B14" s="155"/>
      <c r="C14" s="155"/>
      <c r="D14" s="156"/>
      <c r="E14" s="156" t="e">
        <f>D14*(1+#REF!)</f>
        <v>#REF!</v>
      </c>
      <c r="F14" s="156" t="e">
        <f>E14*(1+#REF!)</f>
        <v>#REF!</v>
      </c>
      <c r="G14" s="161"/>
    </row>
    <row r="15" spans="1:7" s="111" customFormat="1" ht="11.25" customHeight="1">
      <c r="A15" s="155"/>
      <c r="B15" s="155"/>
      <c r="C15" s="155"/>
      <c r="D15" s="156"/>
      <c r="E15" s="156" t="e">
        <f>D15*(1+#REF!)</f>
        <v>#REF!</v>
      </c>
      <c r="F15" s="156" t="e">
        <f>E15*(1+#REF!)</f>
        <v>#REF!</v>
      </c>
      <c r="G15" s="161"/>
    </row>
    <row r="16" spans="1:7" s="111" customFormat="1" ht="11.25" customHeight="1">
      <c r="A16" s="155"/>
      <c r="B16" s="155"/>
      <c r="C16" s="155"/>
      <c r="D16" s="156"/>
      <c r="E16" s="156" t="e">
        <f>D16*(1+#REF!)</f>
        <v>#REF!</v>
      </c>
      <c r="F16" s="156" t="e">
        <f>E16*(1+#REF!)</f>
        <v>#REF!</v>
      </c>
      <c r="G16" s="161"/>
    </row>
    <row r="17" spans="1:7" s="111" customFormat="1" ht="11.25" customHeight="1">
      <c r="A17" s="157"/>
      <c r="B17" s="157"/>
      <c r="C17" s="157"/>
      <c r="D17" s="158"/>
      <c r="E17" s="156" t="e">
        <f>D17*(1+#REF!)</f>
        <v>#REF!</v>
      </c>
      <c r="F17" s="156" t="e">
        <f>E17*(1+#REF!)</f>
        <v>#REF!</v>
      </c>
      <c r="G17" s="162"/>
    </row>
    <row r="18" spans="1:7" s="111" customFormat="1" ht="11.25" customHeight="1">
      <c r="A18" s="607" t="s">
        <v>130</v>
      </c>
      <c r="B18" s="607"/>
      <c r="C18" s="608"/>
      <c r="D18" s="158">
        <f>SUM(D11:D17)</f>
        <v>0</v>
      </c>
      <c r="E18" s="158" t="e">
        <f>SUM(E11:E17)</f>
        <v>#REF!</v>
      </c>
      <c r="F18" s="158" t="e">
        <f>SUM(F11:F17)</f>
        <v>#REF!</v>
      </c>
      <c r="G18" s="162" t="s">
        <v>280</v>
      </c>
    </row>
    <row r="19" spans="1:7" s="111" customFormat="1" ht="11.25" customHeight="1">
      <c r="A19" s="329" t="s">
        <v>393</v>
      </c>
      <c r="B19" s="159"/>
      <c r="C19" s="159"/>
      <c r="D19" s="159"/>
      <c r="E19" s="159"/>
      <c r="F19" s="159"/>
      <c r="G19" s="159"/>
    </row>
    <row r="20" spans="2:6" ht="12.75">
      <c r="B20" s="140"/>
      <c r="C20" s="140"/>
      <c r="D20" s="140"/>
      <c r="E20" s="140"/>
      <c r="F20" s="140"/>
    </row>
  </sheetData>
  <sheetProtection/>
  <mergeCells count="13">
    <mergeCell ref="A1:F1"/>
    <mergeCell ref="A2:F2"/>
    <mergeCell ref="A3:F3"/>
    <mergeCell ref="A4:F4"/>
    <mergeCell ref="G8:G10"/>
    <mergeCell ref="G11:G12"/>
    <mergeCell ref="A18:C18"/>
    <mergeCell ref="A5:F5"/>
    <mergeCell ref="A6:F6"/>
    <mergeCell ref="A8:A10"/>
    <mergeCell ref="B8:B10"/>
    <mergeCell ref="C8:C10"/>
    <mergeCell ref="D8:F9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B31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46.421875" style="35" customWidth="1"/>
    <col min="2" max="2" width="44.7109375" style="35" customWidth="1"/>
    <col min="3" max="16384" width="9.140625" style="35" customWidth="1"/>
  </cols>
  <sheetData>
    <row r="1" spans="1:2" ht="12.75">
      <c r="A1" s="502" t="str">
        <f>Parâmetros!A7</f>
        <v>Município de Barra do Quaraí</v>
      </c>
      <c r="B1" s="501"/>
    </row>
    <row r="2" spans="1:2" ht="12.75">
      <c r="A2" s="499" t="s">
        <v>42</v>
      </c>
      <c r="B2" s="501"/>
    </row>
    <row r="3" spans="1:2" ht="12.75">
      <c r="A3" s="499" t="s">
        <v>175</v>
      </c>
      <c r="B3" s="501"/>
    </row>
    <row r="4" spans="1:2" ht="12.75">
      <c r="A4" s="503" t="s">
        <v>213</v>
      </c>
      <c r="B4" s="505"/>
    </row>
    <row r="5" spans="1:2" ht="12.75">
      <c r="A5" s="499" t="s">
        <v>413</v>
      </c>
      <c r="B5" s="501"/>
    </row>
    <row r="6" spans="1:2" ht="12.75">
      <c r="A6" s="499"/>
      <c r="B6" s="501"/>
    </row>
    <row r="7" spans="1:2" ht="12.75">
      <c r="A7" s="192" t="s">
        <v>292</v>
      </c>
      <c r="B7" s="191">
        <v>1</v>
      </c>
    </row>
    <row r="8" spans="1:2" s="37" customFormat="1" ht="25.5" customHeight="1">
      <c r="A8" s="190" t="s">
        <v>152</v>
      </c>
      <c r="B8" s="172" t="s">
        <v>412</v>
      </c>
    </row>
    <row r="9" spans="1:2" ht="15.75">
      <c r="A9" s="193" t="s">
        <v>153</v>
      </c>
      <c r="B9" s="194">
        <f>(B10+B11)</f>
        <v>487902.4403235909</v>
      </c>
    </row>
    <row r="10" spans="1:2" ht="15">
      <c r="A10" s="195" t="s">
        <v>209</v>
      </c>
      <c r="B10" s="196">
        <f>(Projeções!G10)/(1+Parâmetros!E11)-Projeções!F10</f>
        <v>-29753.820584848872</v>
      </c>
    </row>
    <row r="11" spans="1:2" ht="15">
      <c r="A11" s="195" t="s">
        <v>210</v>
      </c>
      <c r="B11" s="196">
        <f>Projeções!G22/(1+Parâmetros!E11)-Projeções!F22</f>
        <v>517656.26090843976</v>
      </c>
    </row>
    <row r="12" spans="1:2" ht="15">
      <c r="A12" s="195" t="s">
        <v>346</v>
      </c>
      <c r="B12" s="196">
        <v>0</v>
      </c>
    </row>
    <row r="13" spans="1:2" ht="15">
      <c r="A13" s="197" t="s">
        <v>220</v>
      </c>
      <c r="B13" s="196">
        <f>Projeções!G33/(1+Parâmetros!E11)-Projeções!F33</f>
        <v>-78561.6947999997</v>
      </c>
    </row>
    <row r="14" spans="1:2" ht="15.75">
      <c r="A14" s="198" t="s">
        <v>154</v>
      </c>
      <c r="B14" s="199">
        <f>B9+B13</f>
        <v>409340.7455235912</v>
      </c>
    </row>
    <row r="15" spans="1:2" ht="15">
      <c r="A15" s="197" t="s">
        <v>155</v>
      </c>
      <c r="B15" s="200">
        <v>0</v>
      </c>
    </row>
    <row r="16" spans="1:2" ht="15.75">
      <c r="A16" s="197" t="s">
        <v>156</v>
      </c>
      <c r="B16" s="199">
        <f>B14+B15</f>
        <v>409340.7455235912</v>
      </c>
    </row>
    <row r="17" spans="1:2" ht="15">
      <c r="A17" s="195" t="s">
        <v>157</v>
      </c>
      <c r="B17" s="196"/>
    </row>
    <row r="18" spans="1:2" ht="15.75">
      <c r="A18" s="198" t="s">
        <v>343</v>
      </c>
      <c r="B18" s="199">
        <f>B19+B20</f>
        <v>-354677.838418304</v>
      </c>
    </row>
    <row r="19" spans="1:2" ht="15">
      <c r="A19" s="197" t="s">
        <v>211</v>
      </c>
      <c r="B19" s="196">
        <f>Projeções!G41/(1+Parâmetros!E11)-Projeções!F41</f>
        <v>-608521.0172183048</v>
      </c>
    </row>
    <row r="20" spans="1:2" ht="15">
      <c r="A20" s="197" t="s">
        <v>212</v>
      </c>
      <c r="B20" s="196">
        <f>Projeções!G47/(1+Parâmetros!E11)-Projeções!F47</f>
        <v>253843.1788000008</v>
      </c>
    </row>
    <row r="21" spans="1:2" ht="15">
      <c r="A21" s="198" t="s">
        <v>344</v>
      </c>
      <c r="B21" s="196">
        <v>0</v>
      </c>
    </row>
    <row r="22" spans="1:2" ht="21" customHeight="1">
      <c r="A22" s="198" t="s">
        <v>345</v>
      </c>
      <c r="B22" s="201">
        <f>IF(B16-B17-B18&lt;0,"SEM MARGEM",B16-B17-B18)</f>
        <v>764018.5839418952</v>
      </c>
    </row>
    <row r="23" spans="1:2" ht="12.75">
      <c r="A23" s="619" t="s">
        <v>390</v>
      </c>
      <c r="B23" s="620"/>
    </row>
    <row r="24" ht="12.75">
      <c r="A24" s="23"/>
    </row>
    <row r="25" spans="1:2" ht="12.75">
      <c r="A25" s="202"/>
      <c r="B25" s="202"/>
    </row>
    <row r="26" ht="12.75">
      <c r="A26" s="202"/>
    </row>
    <row r="27" ht="12.75">
      <c r="A27" s="202"/>
    </row>
    <row r="28" ht="12.75">
      <c r="A28" s="202"/>
    </row>
    <row r="29" ht="12.75">
      <c r="A29" s="202"/>
    </row>
    <row r="30" ht="12.75">
      <c r="A30" s="202"/>
    </row>
    <row r="31" ht="12.75">
      <c r="A31" s="202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90" zoomScaleNormal="90" zoomScalePageLayoutView="0" workbookViewId="0" topLeftCell="A1">
      <selection activeCell="A28" sqref="A28"/>
    </sheetView>
  </sheetViews>
  <sheetFormatPr defaultColWidth="9.140625" defaultRowHeight="12.75"/>
  <cols>
    <col min="1" max="1" width="41.00390625" style="203" customWidth="1"/>
    <col min="2" max="2" width="44.7109375" style="203" customWidth="1"/>
    <col min="3" max="16384" width="9.140625" style="203" customWidth="1"/>
  </cols>
  <sheetData>
    <row r="1" spans="1:2" ht="11.25">
      <c r="A1" s="464" t="str">
        <f>Parâmetros!A7</f>
        <v>Município de Barra do Quaraí</v>
      </c>
      <c r="B1" s="466"/>
    </row>
    <row r="2" spans="1:2" ht="11.25">
      <c r="A2" s="467" t="s">
        <v>42</v>
      </c>
      <c r="B2" s="466"/>
    </row>
    <row r="3" spans="1:2" ht="11.25">
      <c r="A3" s="467" t="s">
        <v>175</v>
      </c>
      <c r="B3" s="466"/>
    </row>
    <row r="4" spans="1:2" ht="11.25">
      <c r="A4" s="449" t="s">
        <v>213</v>
      </c>
      <c r="B4" s="448"/>
    </row>
    <row r="5" spans="1:2" ht="11.25">
      <c r="A5" s="467" t="s">
        <v>413</v>
      </c>
      <c r="B5" s="466"/>
    </row>
    <row r="6" spans="1:2" ht="11.25">
      <c r="A6" s="467"/>
      <c r="B6" s="466"/>
    </row>
    <row r="7" spans="1:2" ht="11.25">
      <c r="A7" s="160" t="s">
        <v>292</v>
      </c>
      <c r="B7" s="34">
        <v>1</v>
      </c>
    </row>
    <row r="8" spans="1:2" s="204" customFormat="1" ht="25.5" customHeight="1">
      <c r="A8" s="31" t="s">
        <v>152</v>
      </c>
      <c r="B8" s="330" t="s">
        <v>412</v>
      </c>
    </row>
    <row r="9" spans="1:2" ht="11.25">
      <c r="A9" s="89" t="s">
        <v>153</v>
      </c>
      <c r="B9" s="205"/>
    </row>
    <row r="10" spans="1:2" ht="11.25">
      <c r="A10" s="32" t="s">
        <v>209</v>
      </c>
      <c r="B10" s="206"/>
    </row>
    <row r="11" spans="1:2" ht="11.25">
      <c r="A11" s="32" t="s">
        <v>210</v>
      </c>
      <c r="B11" s="206"/>
    </row>
    <row r="12" spans="1:2" ht="11.25">
      <c r="A12" s="33" t="s">
        <v>220</v>
      </c>
      <c r="B12" s="206"/>
    </row>
    <row r="13" spans="1:2" ht="11.25">
      <c r="A13" s="90" t="s">
        <v>154</v>
      </c>
      <c r="B13" s="207"/>
    </row>
    <row r="14" spans="1:2" ht="11.25">
      <c r="A14" s="33" t="s">
        <v>155</v>
      </c>
      <c r="B14" s="208"/>
    </row>
    <row r="15" spans="1:2" ht="11.25">
      <c r="A15" s="33" t="s">
        <v>156</v>
      </c>
      <c r="B15" s="207"/>
    </row>
    <row r="16" spans="1:2" ht="11.25">
      <c r="A16" s="32" t="s">
        <v>157</v>
      </c>
      <c r="B16" s="206"/>
    </row>
    <row r="17" spans="1:2" ht="11.25">
      <c r="A17" s="90" t="s">
        <v>158</v>
      </c>
      <c r="B17" s="207"/>
    </row>
    <row r="18" spans="1:2" ht="11.25">
      <c r="A18" s="33" t="s">
        <v>211</v>
      </c>
      <c r="B18" s="206"/>
    </row>
    <row r="19" spans="1:2" ht="11.25">
      <c r="A19" s="33" t="s">
        <v>212</v>
      </c>
      <c r="B19" s="206"/>
    </row>
    <row r="20" spans="1:2" ht="11.25">
      <c r="A20" s="90" t="s">
        <v>159</v>
      </c>
      <c r="B20" s="209">
        <f>IF(B15-B16-B17&lt;0,"SEM MARGEM",B15-B16-B17)</f>
        <v>0</v>
      </c>
    </row>
    <row r="21" spans="1:2" ht="11.25">
      <c r="A21" s="479" t="s">
        <v>178</v>
      </c>
      <c r="B21" s="621"/>
    </row>
    <row r="22" ht="11.25">
      <c r="A22" s="210"/>
    </row>
    <row r="23" spans="1:2" ht="11.25">
      <c r="A23" s="211"/>
      <c r="B23" s="211"/>
    </row>
    <row r="24" ht="11.25">
      <c r="A24" s="211"/>
    </row>
    <row r="25" ht="11.25">
      <c r="A25" s="211"/>
    </row>
    <row r="26" ht="11.25">
      <c r="A26" s="211"/>
    </row>
    <row r="27" ht="11.25">
      <c r="A27" s="211"/>
    </row>
    <row r="28" ht="11.25">
      <c r="A28" s="211"/>
    </row>
    <row r="29" ht="11.25">
      <c r="A29" s="211"/>
    </row>
  </sheetData>
  <sheetProtection/>
  <mergeCells count="7">
    <mergeCell ref="A5:B5"/>
    <mergeCell ref="A6:B6"/>
    <mergeCell ref="A21:B21"/>
    <mergeCell ref="A1:B1"/>
    <mergeCell ref="A2:B2"/>
    <mergeCell ref="A3:B3"/>
    <mergeCell ref="A4:B4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38.8515625" style="35" customWidth="1"/>
    <col min="2" max="2" width="15.7109375" style="35" customWidth="1"/>
    <col min="3" max="3" width="36.8515625" style="35" customWidth="1"/>
    <col min="4" max="4" width="15.7109375" style="35" customWidth="1"/>
    <col min="5" max="5" width="9.140625" style="35" customWidth="1"/>
  </cols>
  <sheetData>
    <row r="1" spans="1:4" ht="12.75">
      <c r="A1" s="629" t="str">
        <f>Parâmetros!A7</f>
        <v>Município de Barra do Quaraí</v>
      </c>
      <c r="B1" s="630"/>
      <c r="C1" s="630"/>
      <c r="D1" s="630"/>
    </row>
    <row r="2" spans="1:4" ht="12.75">
      <c r="A2" s="630" t="s">
        <v>42</v>
      </c>
      <c r="B2" s="630"/>
      <c r="C2" s="630"/>
      <c r="D2" s="630"/>
    </row>
    <row r="3" spans="1:4" ht="12.75">
      <c r="A3" s="630" t="s">
        <v>295</v>
      </c>
      <c r="B3" s="630"/>
      <c r="C3" s="630"/>
      <c r="D3" s="630"/>
    </row>
    <row r="4" spans="1:4" ht="12.75">
      <c r="A4" s="631" t="s">
        <v>160</v>
      </c>
      <c r="B4" s="631"/>
      <c r="C4" s="631"/>
      <c r="D4" s="631"/>
    </row>
    <row r="5" spans="1:4" ht="12.75">
      <c r="A5" s="630" t="s">
        <v>413</v>
      </c>
      <c r="B5" s="630"/>
      <c r="C5" s="630"/>
      <c r="D5" s="630"/>
    </row>
    <row r="6" spans="1:4" ht="12.75">
      <c r="A6" s="632"/>
      <c r="B6" s="632"/>
      <c r="C6" s="632"/>
      <c r="D6" s="632"/>
    </row>
    <row r="7" spans="1:4" ht="12.75">
      <c r="A7" s="622" t="s">
        <v>296</v>
      </c>
      <c r="B7" s="622"/>
      <c r="C7" s="623">
        <v>1</v>
      </c>
      <c r="D7" s="623"/>
    </row>
    <row r="8" spans="1:4" ht="12.75">
      <c r="A8" s="625" t="s">
        <v>297</v>
      </c>
      <c r="B8" s="625"/>
      <c r="C8" s="625" t="s">
        <v>161</v>
      </c>
      <c r="D8" s="625"/>
    </row>
    <row r="9" spans="1:4" ht="12.75">
      <c r="A9" s="250" t="s">
        <v>162</v>
      </c>
      <c r="B9" s="250" t="s">
        <v>98</v>
      </c>
      <c r="C9" s="250" t="s">
        <v>162</v>
      </c>
      <c r="D9" s="250" t="s">
        <v>98</v>
      </c>
    </row>
    <row r="10" spans="1:4" ht="22.5">
      <c r="A10" s="222" t="s">
        <v>298</v>
      </c>
      <c r="B10" s="223">
        <v>200000</v>
      </c>
      <c r="C10" s="224" t="s">
        <v>349</v>
      </c>
      <c r="D10" s="223">
        <v>250000</v>
      </c>
    </row>
    <row r="11" spans="1:4" ht="12.75">
      <c r="A11" s="222" t="s">
        <v>299</v>
      </c>
      <c r="B11" s="223"/>
      <c r="C11" s="224"/>
      <c r="D11" s="223"/>
    </row>
    <row r="12" spans="1:4" ht="12.75">
      <c r="A12" s="222" t="s">
        <v>300</v>
      </c>
      <c r="B12" s="223"/>
      <c r="C12" s="224"/>
      <c r="D12" s="223"/>
    </row>
    <row r="13" spans="1:4" ht="12.75">
      <c r="A13" s="222" t="s">
        <v>301</v>
      </c>
      <c r="B13" s="223"/>
      <c r="C13" s="224"/>
      <c r="D13" s="223"/>
    </row>
    <row r="14" spans="1:4" ht="12.75">
      <c r="A14" s="222" t="s">
        <v>302</v>
      </c>
      <c r="B14" s="223">
        <v>50000</v>
      </c>
      <c r="C14" s="224"/>
      <c r="D14" s="223"/>
    </row>
    <row r="15" spans="1:4" ht="12.75">
      <c r="A15" s="222" t="s">
        <v>303</v>
      </c>
      <c r="B15" s="223"/>
      <c r="C15" s="224"/>
      <c r="D15" s="223"/>
    </row>
    <row r="16" spans="1:4" ht="12.75">
      <c r="A16" s="253" t="s">
        <v>304</v>
      </c>
      <c r="B16" s="254">
        <f>SUM(B10:B15)</f>
        <v>250000</v>
      </c>
      <c r="C16" s="251" t="s">
        <v>304</v>
      </c>
      <c r="D16" s="252">
        <f>SUM(D10:D15)</f>
        <v>250000</v>
      </c>
    </row>
    <row r="17" spans="1:4" ht="12.75">
      <c r="A17" s="626"/>
      <c r="B17" s="626"/>
      <c r="C17" s="627"/>
      <c r="D17" s="628"/>
    </row>
    <row r="18" spans="1:4" ht="12.75">
      <c r="A18" s="624" t="s">
        <v>305</v>
      </c>
      <c r="B18" s="624"/>
      <c r="C18" s="625" t="s">
        <v>161</v>
      </c>
      <c r="D18" s="625"/>
    </row>
    <row r="19" spans="1:4" ht="12.75">
      <c r="A19" s="250" t="s">
        <v>162</v>
      </c>
      <c r="B19" s="250" t="s">
        <v>98</v>
      </c>
      <c r="C19" s="250" t="s">
        <v>162</v>
      </c>
      <c r="D19" s="250" t="s">
        <v>98</v>
      </c>
    </row>
    <row r="20" spans="1:4" ht="12.75">
      <c r="A20" s="225" t="s">
        <v>306</v>
      </c>
      <c r="B20" s="226">
        <v>0</v>
      </c>
      <c r="C20" s="227" t="s">
        <v>350</v>
      </c>
      <c r="D20" s="226">
        <v>50000</v>
      </c>
    </row>
    <row r="21" spans="1:4" ht="12.75">
      <c r="A21" s="225" t="s">
        <v>307</v>
      </c>
      <c r="B21" s="226"/>
      <c r="C21" s="227"/>
      <c r="D21" s="226"/>
    </row>
    <row r="22" spans="1:4" ht="12.75">
      <c r="A22" s="225" t="s">
        <v>308</v>
      </c>
      <c r="B22" s="226">
        <v>50000</v>
      </c>
      <c r="C22" s="227"/>
      <c r="D22" s="226"/>
    </row>
    <row r="23" spans="1:4" ht="12.75">
      <c r="A23" s="225" t="s">
        <v>309</v>
      </c>
      <c r="B23" s="226"/>
      <c r="C23" s="227"/>
      <c r="D23" s="226"/>
    </row>
    <row r="24" spans="1:4" ht="12.75">
      <c r="A24" s="225" t="s">
        <v>304</v>
      </c>
      <c r="B24" s="226">
        <f>SUM(B20:B23)</f>
        <v>50000</v>
      </c>
      <c r="C24" s="225" t="s">
        <v>304</v>
      </c>
      <c r="D24" s="226">
        <f>SUM(D20:D23)</f>
        <v>50000</v>
      </c>
    </row>
    <row r="25" spans="1:4" ht="12.75">
      <c r="A25" s="251" t="s">
        <v>130</v>
      </c>
      <c r="B25" s="252">
        <f>B16+B24</f>
        <v>300000</v>
      </c>
      <c r="C25" s="251" t="s">
        <v>130</v>
      </c>
      <c r="D25" s="252">
        <f>D16+D24</f>
        <v>300000</v>
      </c>
    </row>
  </sheetData>
  <sheetProtection/>
  <mergeCells count="14">
    <mergeCell ref="A1:D1"/>
    <mergeCell ref="A2:D2"/>
    <mergeCell ref="A3:D3"/>
    <mergeCell ref="A4:D4"/>
    <mergeCell ref="A5:D5"/>
    <mergeCell ref="A6:D6"/>
    <mergeCell ref="A7:B7"/>
    <mergeCell ref="C7:D7"/>
    <mergeCell ref="A18:B18"/>
    <mergeCell ref="C18:D18"/>
    <mergeCell ref="A8:B8"/>
    <mergeCell ref="C8:D8"/>
    <mergeCell ref="A17:B17"/>
    <mergeCell ref="C17:D1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="70" zoomScaleNormal="70" zoomScalePageLayoutView="0" workbookViewId="0" topLeftCell="A2">
      <selection activeCell="B3" sqref="B3"/>
    </sheetView>
  </sheetViews>
  <sheetFormatPr defaultColWidth="9.140625" defaultRowHeight="12.75"/>
  <cols>
    <col min="2" max="2" width="50.00390625" style="0" customWidth="1"/>
    <col min="3" max="3" width="9.8515625" style="0" customWidth="1"/>
    <col min="4" max="4" width="12.00390625" style="0" customWidth="1"/>
    <col min="5" max="5" width="20.28125" style="0" customWidth="1"/>
  </cols>
  <sheetData>
    <row r="1" spans="1:5" ht="12.75">
      <c r="A1" s="638" t="s">
        <v>417</v>
      </c>
      <c r="B1" s="639"/>
      <c r="C1" s="639"/>
      <c r="D1" s="639"/>
      <c r="E1" s="640"/>
    </row>
    <row r="2" spans="1:5" ht="12.75">
      <c r="A2" s="641" t="s">
        <v>351</v>
      </c>
      <c r="B2" s="454"/>
      <c r="C2" s="454"/>
      <c r="D2" s="454"/>
      <c r="E2" s="642"/>
    </row>
    <row r="3" spans="1:5" ht="12.75">
      <c r="A3" s="291"/>
      <c r="B3" s="292"/>
      <c r="C3" s="292"/>
      <c r="D3" s="292"/>
      <c r="E3" s="293"/>
    </row>
    <row r="4" spans="1:5" ht="12.75">
      <c r="A4" s="643" t="s">
        <v>352</v>
      </c>
      <c r="B4" s="644"/>
      <c r="C4" s="292"/>
      <c r="D4" s="292"/>
      <c r="E4" s="293"/>
    </row>
    <row r="5" spans="1:5" ht="12.75">
      <c r="A5" s="643" t="s">
        <v>353</v>
      </c>
      <c r="B5" s="454"/>
      <c r="C5" s="292"/>
      <c r="D5" s="292"/>
      <c r="E5" s="293"/>
    </row>
    <row r="6" spans="1:5" ht="13.5" thickBot="1">
      <c r="A6" s="294"/>
      <c r="B6" s="295"/>
      <c r="C6" s="295"/>
      <c r="D6" s="295"/>
      <c r="E6" s="296"/>
    </row>
    <row r="7" spans="1:5" ht="12.75">
      <c r="A7" s="645" t="s">
        <v>354</v>
      </c>
      <c r="B7" s="297" t="s">
        <v>355</v>
      </c>
      <c r="C7" s="645" t="s">
        <v>356</v>
      </c>
      <c r="D7" s="648"/>
      <c r="E7" s="297"/>
    </row>
    <row r="8" spans="1:5" ht="12.75">
      <c r="A8" s="646"/>
      <c r="B8" s="298"/>
      <c r="C8" s="646"/>
      <c r="D8" s="649"/>
      <c r="E8" s="298">
        <v>2017</v>
      </c>
    </row>
    <row r="9" spans="1:5" ht="13.5" thickBot="1">
      <c r="A9" s="647"/>
      <c r="B9" s="299" t="s">
        <v>357</v>
      </c>
      <c r="C9" s="647"/>
      <c r="D9" s="650"/>
      <c r="E9" s="300"/>
    </row>
    <row r="10" spans="1:5" ht="12.75">
      <c r="A10" s="633"/>
      <c r="B10" s="633"/>
      <c r="C10" s="633"/>
      <c r="D10" s="301" t="s">
        <v>358</v>
      </c>
      <c r="E10" s="633"/>
    </row>
    <row r="11" spans="1:5" ht="13.5" thickBot="1">
      <c r="A11" s="634"/>
      <c r="B11" s="634"/>
      <c r="C11" s="634"/>
      <c r="D11" s="302" t="s">
        <v>98</v>
      </c>
      <c r="E11" s="634"/>
    </row>
    <row r="12" spans="1:5" ht="12.75">
      <c r="A12" s="633"/>
      <c r="B12" s="633"/>
      <c r="C12" s="633"/>
      <c r="D12" s="301" t="s">
        <v>358</v>
      </c>
      <c r="E12" s="633"/>
    </row>
    <row r="13" spans="1:5" ht="13.5" thickBot="1">
      <c r="A13" s="634"/>
      <c r="B13" s="634"/>
      <c r="C13" s="634"/>
      <c r="D13" s="302" t="s">
        <v>98</v>
      </c>
      <c r="E13" s="634"/>
    </row>
    <row r="14" spans="1:5" ht="12.75">
      <c r="A14" s="633"/>
      <c r="B14" s="633"/>
      <c r="C14" s="633"/>
      <c r="D14" s="301" t="s">
        <v>358</v>
      </c>
      <c r="E14" s="633"/>
    </row>
    <row r="15" spans="1:5" ht="13.5" thickBot="1">
      <c r="A15" s="634"/>
      <c r="B15" s="634"/>
      <c r="C15" s="634"/>
      <c r="D15" s="302" t="s">
        <v>98</v>
      </c>
      <c r="E15" s="634"/>
    </row>
    <row r="16" spans="1:5" ht="12.75">
      <c r="A16" s="633"/>
      <c r="B16" s="633"/>
      <c r="C16" s="633"/>
      <c r="D16" s="301" t="s">
        <v>358</v>
      </c>
      <c r="E16" s="633"/>
    </row>
    <row r="17" spans="1:5" ht="13.5" thickBot="1">
      <c r="A17" s="634"/>
      <c r="B17" s="634"/>
      <c r="C17" s="634"/>
      <c r="D17" s="302" t="s">
        <v>98</v>
      </c>
      <c r="E17" s="634"/>
    </row>
    <row r="18" spans="1:5" ht="12.75">
      <c r="A18" s="633"/>
      <c r="B18" s="633"/>
      <c r="C18" s="633"/>
      <c r="D18" s="301" t="s">
        <v>358</v>
      </c>
      <c r="E18" s="633"/>
    </row>
    <row r="19" spans="1:5" ht="13.5" thickBot="1">
      <c r="A19" s="634"/>
      <c r="B19" s="634"/>
      <c r="C19" s="634"/>
      <c r="D19" s="302" t="s">
        <v>98</v>
      </c>
      <c r="E19" s="634"/>
    </row>
    <row r="20" spans="1:5" ht="12.75">
      <c r="A20" s="633"/>
      <c r="B20" s="633"/>
      <c r="C20" s="633"/>
      <c r="D20" s="301" t="s">
        <v>358</v>
      </c>
      <c r="E20" s="633"/>
    </row>
    <row r="21" spans="1:5" ht="13.5" thickBot="1">
      <c r="A21" s="634"/>
      <c r="B21" s="634"/>
      <c r="C21" s="634"/>
      <c r="D21" s="302" t="s">
        <v>98</v>
      </c>
      <c r="E21" s="634"/>
    </row>
    <row r="22" spans="1:5" ht="12.75">
      <c r="A22" s="633"/>
      <c r="B22" s="633"/>
      <c r="C22" s="633"/>
      <c r="D22" s="301" t="s">
        <v>358</v>
      </c>
      <c r="E22" s="633"/>
    </row>
    <row r="23" spans="1:5" ht="13.5" thickBot="1">
      <c r="A23" s="634"/>
      <c r="B23" s="634"/>
      <c r="C23" s="634"/>
      <c r="D23" s="302" t="s">
        <v>98</v>
      </c>
      <c r="E23" s="634"/>
    </row>
    <row r="24" spans="1:5" ht="12.75">
      <c r="A24" s="633"/>
      <c r="B24" s="633"/>
      <c r="C24" s="633"/>
      <c r="D24" s="301" t="s">
        <v>358</v>
      </c>
      <c r="E24" s="633"/>
    </row>
    <row r="25" spans="1:5" ht="13.5" thickBot="1">
      <c r="A25" s="634"/>
      <c r="B25" s="634"/>
      <c r="C25" s="634"/>
      <c r="D25" s="302" t="s">
        <v>98</v>
      </c>
      <c r="E25" s="634"/>
    </row>
    <row r="26" spans="1:5" ht="12.75">
      <c r="A26" s="633"/>
      <c r="B26" s="633"/>
      <c r="C26" s="633"/>
      <c r="D26" s="301" t="s">
        <v>358</v>
      </c>
      <c r="E26" s="633"/>
    </row>
    <row r="27" spans="1:5" ht="13.5" thickBot="1">
      <c r="A27" s="634"/>
      <c r="B27" s="634"/>
      <c r="C27" s="634"/>
      <c r="D27" s="302" t="s">
        <v>98</v>
      </c>
      <c r="E27" s="634"/>
    </row>
    <row r="28" spans="1:5" ht="12.75">
      <c r="A28" s="633"/>
      <c r="B28" s="633"/>
      <c r="C28" s="633"/>
      <c r="D28" s="301" t="s">
        <v>358</v>
      </c>
      <c r="E28" s="633"/>
    </row>
    <row r="29" spans="1:5" ht="13.5" thickBot="1">
      <c r="A29" s="634"/>
      <c r="B29" s="634"/>
      <c r="C29" s="634"/>
      <c r="D29" s="302" t="s">
        <v>98</v>
      </c>
      <c r="E29" s="634"/>
    </row>
    <row r="30" spans="1:5" ht="12.75">
      <c r="A30" s="633"/>
      <c r="B30" s="633"/>
      <c r="C30" s="633"/>
      <c r="D30" s="301" t="s">
        <v>358</v>
      </c>
      <c r="E30" s="633"/>
    </row>
    <row r="31" spans="1:5" ht="13.5" thickBot="1">
      <c r="A31" s="634"/>
      <c r="B31" s="634"/>
      <c r="C31" s="634"/>
      <c r="D31" s="302" t="s">
        <v>98</v>
      </c>
      <c r="E31" s="634"/>
    </row>
    <row r="32" spans="1:5" ht="12.75">
      <c r="A32" s="633"/>
      <c r="B32" s="633"/>
      <c r="C32" s="633"/>
      <c r="D32" s="301" t="s">
        <v>358</v>
      </c>
      <c r="E32" s="633"/>
    </row>
    <row r="33" spans="1:5" ht="13.5" thickBot="1">
      <c r="A33" s="634"/>
      <c r="B33" s="634"/>
      <c r="C33" s="634"/>
      <c r="D33" s="301" t="s">
        <v>98</v>
      </c>
      <c r="E33" s="634"/>
    </row>
    <row r="34" spans="1:5" ht="13.5" thickBot="1">
      <c r="A34" s="635" t="s">
        <v>359</v>
      </c>
      <c r="B34" s="636"/>
      <c r="C34" s="636"/>
      <c r="D34" s="637"/>
      <c r="E34" s="303"/>
    </row>
    <row r="35" spans="1:2" ht="12.75">
      <c r="A35" s="304" t="s">
        <v>360</v>
      </c>
      <c r="B35" s="304" t="s">
        <v>361</v>
      </c>
    </row>
  </sheetData>
  <sheetProtection/>
  <mergeCells count="56">
    <mergeCell ref="A1:E1"/>
    <mergeCell ref="A2:E2"/>
    <mergeCell ref="A4:B4"/>
    <mergeCell ref="A5:B5"/>
    <mergeCell ref="A7:A9"/>
    <mergeCell ref="C7:C9"/>
    <mergeCell ref="D7:D9"/>
    <mergeCell ref="A10:A11"/>
    <mergeCell ref="B10:B11"/>
    <mergeCell ref="C10:C11"/>
    <mergeCell ref="E10:E11"/>
    <mergeCell ref="A12:A13"/>
    <mergeCell ref="B12:B13"/>
    <mergeCell ref="C12:C13"/>
    <mergeCell ref="E12:E13"/>
    <mergeCell ref="A14:A15"/>
    <mergeCell ref="B14:B15"/>
    <mergeCell ref="C14:C15"/>
    <mergeCell ref="E14:E15"/>
    <mergeCell ref="A16:A17"/>
    <mergeCell ref="B16:B17"/>
    <mergeCell ref="C16:C17"/>
    <mergeCell ref="E16:E17"/>
    <mergeCell ref="A18:A19"/>
    <mergeCell ref="B18:B19"/>
    <mergeCell ref="C18:C19"/>
    <mergeCell ref="E18:E19"/>
    <mergeCell ref="A20:A21"/>
    <mergeCell ref="B20:B21"/>
    <mergeCell ref="C20:C21"/>
    <mergeCell ref="E20:E21"/>
    <mergeCell ref="A22:A23"/>
    <mergeCell ref="B22:B23"/>
    <mergeCell ref="C22:C23"/>
    <mergeCell ref="E22:E23"/>
    <mergeCell ref="A24:A25"/>
    <mergeCell ref="B24:B25"/>
    <mergeCell ref="C24:C25"/>
    <mergeCell ref="E24:E25"/>
    <mergeCell ref="A26:A27"/>
    <mergeCell ref="B26:B27"/>
    <mergeCell ref="C26:C27"/>
    <mergeCell ref="E26:E27"/>
    <mergeCell ref="A28:A29"/>
    <mergeCell ref="B28:B29"/>
    <mergeCell ref="C28:C29"/>
    <mergeCell ref="E28:E29"/>
    <mergeCell ref="E32:E33"/>
    <mergeCell ref="A30:A31"/>
    <mergeCell ref="B30:B31"/>
    <mergeCell ref="C30:C31"/>
    <mergeCell ref="E30:E31"/>
    <mergeCell ref="A34:D34"/>
    <mergeCell ref="A32:A33"/>
    <mergeCell ref="B32:B33"/>
    <mergeCell ref="C32:C3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18.28125" style="0" customWidth="1"/>
    <col min="3" max="3" width="10.8515625" style="0" customWidth="1"/>
    <col min="4" max="4" width="15.00390625" style="0" customWidth="1"/>
    <col min="5" max="5" width="11.28125" style="0" customWidth="1"/>
    <col min="6" max="6" width="15.28125" style="0" customWidth="1"/>
    <col min="7" max="7" width="12.7109375" style="0" customWidth="1"/>
    <col min="8" max="8" width="11.7109375" style="0" customWidth="1"/>
    <col min="10" max="10" width="5.57421875" style="0" customWidth="1"/>
    <col min="11" max="11" width="1.28515625" style="0" hidden="1" customWidth="1"/>
    <col min="12" max="12" width="12.7109375" style="0" customWidth="1"/>
  </cols>
  <sheetData>
    <row r="1" spans="1:12" ht="12.75">
      <c r="A1" s="694" t="s">
        <v>408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6"/>
    </row>
    <row r="2" spans="1:12" ht="13.5" thickBot="1">
      <c r="A2" s="697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9"/>
    </row>
    <row r="3" spans="1:12" ht="12.75">
      <c r="A3" s="684" t="s">
        <v>418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685"/>
    </row>
    <row r="4" spans="1:12" ht="12.75">
      <c r="A4" s="701" t="s">
        <v>362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3"/>
    </row>
    <row r="5" spans="1:12" ht="13.5" thickBot="1">
      <c r="A5" s="686" t="s">
        <v>363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687"/>
    </row>
    <row r="6" spans="1:12" ht="13.5" thickBot="1">
      <c r="A6" s="705" t="s">
        <v>364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7"/>
    </row>
    <row r="7" spans="1:12" ht="13.5" thickBot="1">
      <c r="A7" s="651"/>
      <c r="B7" s="652"/>
      <c r="C7" s="305"/>
      <c r="D7" s="305"/>
      <c r="E7" s="705" t="s">
        <v>365</v>
      </c>
      <c r="F7" s="706"/>
      <c r="G7" s="707"/>
      <c r="H7" s="705" t="s">
        <v>434</v>
      </c>
      <c r="I7" s="706"/>
      <c r="J7" s="706"/>
      <c r="K7" s="706"/>
      <c r="L7" s="707"/>
    </row>
    <row r="8" spans="1:12" ht="12.75">
      <c r="A8" s="684" t="s">
        <v>366</v>
      </c>
      <c r="B8" s="685"/>
      <c r="C8" s="682" t="s">
        <v>367</v>
      </c>
      <c r="D8" s="682" t="s">
        <v>368</v>
      </c>
      <c r="E8" s="682" t="s">
        <v>435</v>
      </c>
      <c r="F8" s="682" t="s">
        <v>432</v>
      </c>
      <c r="G8" s="682" t="s">
        <v>433</v>
      </c>
      <c r="H8" s="682" t="s">
        <v>369</v>
      </c>
      <c r="I8" s="688" t="s">
        <v>386</v>
      </c>
      <c r="J8" s="689"/>
      <c r="K8" s="690"/>
      <c r="L8" s="682" t="s">
        <v>370</v>
      </c>
    </row>
    <row r="9" spans="1:12" ht="29.25" customHeight="1" thickBot="1">
      <c r="A9" s="686"/>
      <c r="B9" s="687"/>
      <c r="C9" s="683"/>
      <c r="D9" s="683"/>
      <c r="E9" s="683"/>
      <c r="F9" s="683"/>
      <c r="G9" s="683"/>
      <c r="H9" s="683"/>
      <c r="I9" s="691"/>
      <c r="J9" s="692"/>
      <c r="K9" s="693"/>
      <c r="L9" s="683"/>
    </row>
    <row r="10" spans="1:12" ht="13.5" thickBot="1">
      <c r="A10" s="677" t="s">
        <v>395</v>
      </c>
      <c r="B10" s="678"/>
      <c r="C10" s="336">
        <v>42261</v>
      </c>
      <c r="D10" s="337">
        <v>1560000</v>
      </c>
      <c r="E10" s="338">
        <v>0</v>
      </c>
      <c r="F10" s="338">
        <v>1560000</v>
      </c>
      <c r="G10" s="338">
        <f>D10-F10</f>
        <v>0</v>
      </c>
      <c r="H10" s="306"/>
      <c r="I10" s="679"/>
      <c r="J10" s="680"/>
      <c r="K10" s="681"/>
      <c r="L10" s="306"/>
    </row>
    <row r="11" spans="1:12" ht="13.5" thickBot="1">
      <c r="A11" s="671" t="s">
        <v>407</v>
      </c>
      <c r="B11" s="672"/>
      <c r="C11" s="384">
        <v>42450</v>
      </c>
      <c r="D11" s="339">
        <v>273750</v>
      </c>
      <c r="E11" s="338">
        <v>0</v>
      </c>
      <c r="F11" s="338">
        <v>273750</v>
      </c>
      <c r="G11" s="338">
        <f>D11-F11</f>
        <v>0</v>
      </c>
      <c r="H11" s="308"/>
      <c r="I11" s="653"/>
      <c r="J11" s="654"/>
      <c r="K11" s="655"/>
      <c r="L11" s="308"/>
    </row>
    <row r="12" spans="1:12" ht="13.5" thickBot="1">
      <c r="A12" s="673"/>
      <c r="B12" s="674"/>
      <c r="C12" s="385"/>
      <c r="D12" s="386"/>
      <c r="E12" s="387"/>
      <c r="F12" s="387"/>
      <c r="G12" s="387"/>
      <c r="H12" s="388"/>
      <c r="I12" s="661"/>
      <c r="J12" s="662"/>
      <c r="K12" s="663"/>
      <c r="L12" s="388"/>
    </row>
    <row r="13" spans="1:12" ht="13.5" customHeight="1" thickBot="1">
      <c r="A13" s="667" t="s">
        <v>436</v>
      </c>
      <c r="B13" s="668"/>
      <c r="C13" s="305"/>
      <c r="D13" s="307"/>
      <c r="E13" s="305"/>
      <c r="F13" s="305"/>
      <c r="G13" s="305"/>
      <c r="H13" s="308"/>
      <c r="I13" s="653"/>
      <c r="J13" s="654"/>
      <c r="K13" s="655"/>
      <c r="L13" s="308"/>
    </row>
    <row r="14" spans="1:12" ht="13.5" thickBot="1">
      <c r="A14" s="675"/>
      <c r="B14" s="676"/>
      <c r="C14" s="305"/>
      <c r="D14" s="307"/>
      <c r="E14" s="305"/>
      <c r="F14" s="389">
        <v>20000</v>
      </c>
      <c r="G14" s="389">
        <v>100000</v>
      </c>
      <c r="H14" s="308"/>
      <c r="I14" s="653"/>
      <c r="J14" s="654"/>
      <c r="K14" s="655"/>
      <c r="L14" s="308"/>
    </row>
    <row r="15" spans="1:12" ht="13.5" thickBot="1">
      <c r="A15" s="669"/>
      <c r="B15" s="670"/>
      <c r="C15" s="305"/>
      <c r="D15" s="307"/>
      <c r="E15" s="305"/>
      <c r="F15" s="305"/>
      <c r="G15" s="305"/>
      <c r="H15" s="308"/>
      <c r="I15" s="653"/>
      <c r="J15" s="654"/>
      <c r="K15" s="655"/>
      <c r="L15" s="308"/>
    </row>
    <row r="16" spans="1:12" ht="13.5" thickBot="1">
      <c r="A16" s="659"/>
      <c r="B16" s="660"/>
      <c r="C16" s="385"/>
      <c r="D16" s="390"/>
      <c r="E16" s="385"/>
      <c r="F16" s="385"/>
      <c r="G16" s="385"/>
      <c r="H16" s="388"/>
      <c r="I16" s="661"/>
      <c r="J16" s="662"/>
      <c r="K16" s="663"/>
      <c r="L16" s="388"/>
    </row>
    <row r="17" spans="1:12" ht="13.5" thickBot="1">
      <c r="A17" s="651" t="s">
        <v>437</v>
      </c>
      <c r="B17" s="652"/>
      <c r="C17" s="305"/>
      <c r="D17" s="307"/>
      <c r="E17" s="305"/>
      <c r="F17" s="305"/>
      <c r="G17" s="305"/>
      <c r="H17" s="308"/>
      <c r="I17" s="653"/>
      <c r="J17" s="654"/>
      <c r="K17" s="655"/>
      <c r="L17" s="391">
        <v>150000</v>
      </c>
    </row>
    <row r="18" spans="1:12" ht="13.5" thickBot="1">
      <c r="A18" s="659"/>
      <c r="B18" s="660"/>
      <c r="C18" s="385"/>
      <c r="D18" s="390"/>
      <c r="E18" s="385"/>
      <c r="F18" s="385"/>
      <c r="G18" s="385"/>
      <c r="H18" s="388"/>
      <c r="I18" s="661"/>
      <c r="J18" s="662"/>
      <c r="K18" s="663"/>
      <c r="L18" s="388"/>
    </row>
    <row r="19" spans="1:12" ht="13.5" customHeight="1" thickBot="1">
      <c r="A19" s="667" t="s">
        <v>438</v>
      </c>
      <c r="B19" s="668"/>
      <c r="C19" s="305"/>
      <c r="D19" s="307"/>
      <c r="E19" s="305"/>
      <c r="F19" s="305"/>
      <c r="G19" s="305"/>
      <c r="H19" s="308"/>
      <c r="I19" s="653"/>
      <c r="J19" s="654"/>
      <c r="K19" s="655"/>
      <c r="L19" s="391">
        <v>400000</v>
      </c>
    </row>
    <row r="20" spans="1:12" ht="13.5" thickBot="1">
      <c r="A20" s="669"/>
      <c r="B20" s="670"/>
      <c r="C20" s="305"/>
      <c r="D20" s="307"/>
      <c r="E20" s="305"/>
      <c r="F20" s="305"/>
      <c r="G20" s="305"/>
      <c r="H20" s="308"/>
      <c r="I20" s="653"/>
      <c r="J20" s="654"/>
      <c r="K20" s="655"/>
      <c r="L20" s="308"/>
    </row>
    <row r="21" spans="1:12" ht="13.5" thickBot="1">
      <c r="A21" s="659"/>
      <c r="B21" s="660"/>
      <c r="C21" s="385"/>
      <c r="D21" s="390"/>
      <c r="E21" s="385"/>
      <c r="F21" s="385"/>
      <c r="G21" s="385"/>
      <c r="H21" s="388"/>
      <c r="I21" s="661"/>
      <c r="J21" s="662"/>
      <c r="K21" s="663"/>
      <c r="L21" s="388"/>
    </row>
    <row r="22" spans="1:12" ht="13.5" thickBot="1">
      <c r="A22" s="651" t="s">
        <v>439</v>
      </c>
      <c r="B22" s="652"/>
      <c r="C22" s="305"/>
      <c r="D22" s="307"/>
      <c r="E22" s="305"/>
      <c r="F22" s="305"/>
      <c r="G22" s="305"/>
      <c r="H22" s="308"/>
      <c r="I22" s="664">
        <v>50000</v>
      </c>
      <c r="J22" s="665"/>
      <c r="K22" s="666"/>
      <c r="L22" s="391"/>
    </row>
    <row r="23" spans="1:12" ht="13.5" thickBot="1">
      <c r="A23" s="651"/>
      <c r="B23" s="652"/>
      <c r="C23" s="305"/>
      <c r="D23" s="307"/>
      <c r="E23" s="305"/>
      <c r="F23" s="305"/>
      <c r="G23" s="305"/>
      <c r="H23" s="308"/>
      <c r="I23" s="653"/>
      <c r="J23" s="654"/>
      <c r="K23" s="655"/>
      <c r="L23" s="308"/>
    </row>
    <row r="24" spans="1:12" ht="13.5" thickBot="1">
      <c r="A24" s="651"/>
      <c r="B24" s="652"/>
      <c r="C24" s="305"/>
      <c r="D24" s="307"/>
      <c r="E24" s="305"/>
      <c r="F24" s="305"/>
      <c r="G24" s="305"/>
      <c r="H24" s="308"/>
      <c r="I24" s="653"/>
      <c r="J24" s="654"/>
      <c r="K24" s="655"/>
      <c r="L24" s="308"/>
    </row>
    <row r="25" spans="1:12" ht="13.5" thickBot="1">
      <c r="A25" s="651"/>
      <c r="B25" s="652"/>
      <c r="C25" s="305"/>
      <c r="D25" s="307"/>
      <c r="E25" s="305"/>
      <c r="F25" s="305"/>
      <c r="G25" s="305"/>
      <c r="H25" s="308"/>
      <c r="I25" s="653"/>
      <c r="J25" s="654"/>
      <c r="K25" s="655"/>
      <c r="L25" s="308"/>
    </row>
    <row r="26" spans="1:12" ht="13.5" thickBot="1">
      <c r="A26" s="651"/>
      <c r="B26" s="652"/>
      <c r="C26" s="305"/>
      <c r="D26" s="307"/>
      <c r="E26" s="305"/>
      <c r="F26" s="305"/>
      <c r="G26" s="305"/>
      <c r="H26" s="308"/>
      <c r="I26" s="653"/>
      <c r="J26" s="654"/>
      <c r="K26" s="655"/>
      <c r="L26" s="308"/>
    </row>
    <row r="27" spans="1:12" ht="13.5" thickBot="1">
      <c r="A27" s="656" t="s">
        <v>371</v>
      </c>
      <c r="B27" s="657"/>
      <c r="C27" s="657"/>
      <c r="D27" s="657"/>
      <c r="E27" s="657"/>
      <c r="F27" s="657"/>
      <c r="G27" s="658"/>
      <c r="H27" s="308">
        <f>SUM(H10:H26)</f>
        <v>0</v>
      </c>
      <c r="I27" s="653">
        <f>SUM(I22:I26)</f>
        <v>50000</v>
      </c>
      <c r="J27" s="654"/>
      <c r="K27" s="655"/>
      <c r="L27" s="308">
        <f>SUM(L10:L26)</f>
        <v>550000</v>
      </c>
    </row>
  </sheetData>
  <sheetProtection/>
  <mergeCells count="49">
    <mergeCell ref="L8:L9"/>
    <mergeCell ref="A1:L2"/>
    <mergeCell ref="A3:L3"/>
    <mergeCell ref="A4:L4"/>
    <mergeCell ref="A5:L5"/>
    <mergeCell ref="A6:L6"/>
    <mergeCell ref="A7:B7"/>
    <mergeCell ref="E7:G7"/>
    <mergeCell ref="H7:L7"/>
    <mergeCell ref="A10:B10"/>
    <mergeCell ref="I10:K10"/>
    <mergeCell ref="F8:F9"/>
    <mergeCell ref="G8:G9"/>
    <mergeCell ref="H8:H9"/>
    <mergeCell ref="A8:B9"/>
    <mergeCell ref="C8:C9"/>
    <mergeCell ref="I8:K9"/>
    <mergeCell ref="D8:D9"/>
    <mergeCell ref="E8:E9"/>
    <mergeCell ref="I11:K11"/>
    <mergeCell ref="I12:K12"/>
    <mergeCell ref="I13:K13"/>
    <mergeCell ref="A11:B12"/>
    <mergeCell ref="I14:K14"/>
    <mergeCell ref="A13:B15"/>
    <mergeCell ref="I15:K15"/>
    <mergeCell ref="A16:B16"/>
    <mergeCell ref="I16:K16"/>
    <mergeCell ref="A17:B17"/>
    <mergeCell ref="I17:K17"/>
    <mergeCell ref="A19:B20"/>
    <mergeCell ref="A18:B18"/>
    <mergeCell ref="I18:K18"/>
    <mergeCell ref="I19:K19"/>
    <mergeCell ref="I20:K20"/>
    <mergeCell ref="A21:B21"/>
    <mergeCell ref="I21:K21"/>
    <mergeCell ref="A22:B22"/>
    <mergeCell ref="I22:K22"/>
    <mergeCell ref="A23:B23"/>
    <mergeCell ref="I23:K23"/>
    <mergeCell ref="A24:B24"/>
    <mergeCell ref="I24:K24"/>
    <mergeCell ref="A27:G27"/>
    <mergeCell ref="I27:K27"/>
    <mergeCell ref="A25:B25"/>
    <mergeCell ref="I25:K25"/>
    <mergeCell ref="A26:B26"/>
    <mergeCell ref="I26:K2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/>
  <dimension ref="A1:J43"/>
  <sheetViews>
    <sheetView showGridLines="0" zoomScale="90" zoomScaleNormal="90" zoomScalePageLayoutView="0" workbookViewId="0" topLeftCell="A1">
      <selection activeCell="A1" sqref="A1:J1"/>
    </sheetView>
  </sheetViews>
  <sheetFormatPr defaultColWidth="32.00390625" defaultRowHeight="12.75"/>
  <cols>
    <col min="1" max="1" width="42.140625" style="96" customWidth="1"/>
    <col min="2" max="2" width="18.140625" style="97" customWidth="1"/>
    <col min="3" max="3" width="15.421875" style="103" customWidth="1"/>
    <col min="4" max="4" width="16.7109375" style="96" customWidth="1"/>
    <col min="5" max="5" width="16.28125" style="96" customWidth="1"/>
    <col min="6" max="6" width="16.140625" style="96" customWidth="1"/>
    <col min="7" max="7" width="17.00390625" style="96" customWidth="1"/>
    <col min="8" max="18" width="13.7109375" style="96" customWidth="1"/>
    <col min="19" max="16384" width="32.00390625" style="96" customWidth="1"/>
  </cols>
  <sheetData>
    <row r="1" spans="1:10" ht="12">
      <c r="A1" s="446" t="str">
        <f>Parâmetros!A7</f>
        <v>Município de Barra do Quaraí</v>
      </c>
      <c r="B1" s="447"/>
      <c r="C1" s="447"/>
      <c r="D1" s="447"/>
      <c r="E1" s="447"/>
      <c r="F1" s="447"/>
      <c r="G1" s="447"/>
      <c r="H1" s="447"/>
      <c r="I1" s="447"/>
      <c r="J1" s="448"/>
    </row>
    <row r="2" spans="1:10" ht="12">
      <c r="A2" s="449" t="s">
        <v>419</v>
      </c>
      <c r="B2" s="447"/>
      <c r="C2" s="447"/>
      <c r="D2" s="447"/>
      <c r="E2" s="447"/>
      <c r="F2" s="447"/>
      <c r="G2" s="447"/>
      <c r="H2" s="447"/>
      <c r="I2" s="447"/>
      <c r="J2" s="448"/>
    </row>
    <row r="3" spans="1:10" ht="12">
      <c r="A3" s="449" t="s">
        <v>219</v>
      </c>
      <c r="B3" s="447"/>
      <c r="C3" s="447"/>
      <c r="D3" s="447"/>
      <c r="E3" s="447"/>
      <c r="F3" s="447"/>
      <c r="G3" s="447"/>
      <c r="H3" s="447"/>
      <c r="I3" s="447"/>
      <c r="J3" s="448"/>
    </row>
    <row r="4" spans="1:3" ht="12">
      <c r="A4" s="98"/>
      <c r="C4" s="95"/>
    </row>
    <row r="5" spans="1:7" ht="15">
      <c r="A5" s="445" t="s">
        <v>218</v>
      </c>
      <c r="B5" s="255">
        <v>2015</v>
      </c>
      <c r="C5" s="255">
        <f>B5+1</f>
        <v>2016</v>
      </c>
      <c r="D5" s="255">
        <f>C5+1</f>
        <v>2017</v>
      </c>
      <c r="E5" s="255">
        <f>D5+1</f>
        <v>2018</v>
      </c>
      <c r="F5" s="255">
        <f>E5+1</f>
        <v>2019</v>
      </c>
      <c r="G5" s="255">
        <f>F5+1</f>
        <v>2020</v>
      </c>
    </row>
    <row r="6" spans="1:7" ht="12.75" customHeight="1">
      <c r="A6" s="445"/>
      <c r="B6" s="255" t="s">
        <v>195</v>
      </c>
      <c r="C6" s="256" t="s">
        <v>195</v>
      </c>
      <c r="D6" s="256" t="s">
        <v>196</v>
      </c>
      <c r="E6" s="256" t="s">
        <v>17</v>
      </c>
      <c r="F6" s="256" t="s">
        <v>17</v>
      </c>
      <c r="G6" s="256" t="s">
        <v>17</v>
      </c>
    </row>
    <row r="7" spans="1:7" ht="22.5" customHeight="1">
      <c r="A7" s="257" t="s">
        <v>270</v>
      </c>
      <c r="B7" s="258">
        <v>9703.36</v>
      </c>
      <c r="C7" s="258">
        <v>5988.12</v>
      </c>
      <c r="D7" s="258">
        <v>74314.56</v>
      </c>
      <c r="E7" s="259">
        <f>(D7*(1+Parâmetros!E19)+Projeções!G27-Projeções!G45-Projeções!G57)</f>
        <v>-251711.38406400007</v>
      </c>
      <c r="F7" s="259">
        <f>(E7*(1+Parâmetros!F19)+Projeções!H27-Projeções!H45-Projeções!H57)</f>
        <v>-676943.4841142402</v>
      </c>
      <c r="G7" s="259">
        <f>(F7*(1+Parâmetros!G19)+Projeções!I27-Projeções!I45-Projeções!I57)</f>
        <v>-1224485.1327638037</v>
      </c>
    </row>
    <row r="8" spans="1:7" ht="14.25">
      <c r="A8" s="260" t="s">
        <v>271</v>
      </c>
      <c r="B8" s="258">
        <v>1550548.3</v>
      </c>
      <c r="C8" s="258">
        <v>1374331.03</v>
      </c>
      <c r="D8" s="258">
        <v>1295745.32</v>
      </c>
      <c r="E8" s="261">
        <f>(B8+C8+D8)/3</f>
        <v>1406874.8833333335</v>
      </c>
      <c r="F8" s="261">
        <f>(C8+D8+E8)/3</f>
        <v>1358983.7444444445</v>
      </c>
      <c r="G8" s="261">
        <f>(D8+E8+F8)/3</f>
        <v>1353867.9825925927</v>
      </c>
    </row>
    <row r="9" spans="1:7" ht="22.5" customHeight="1">
      <c r="A9" s="257" t="s">
        <v>272</v>
      </c>
      <c r="B9" s="261">
        <f>IF(B7-B8&lt;0,0,B7-B8)</f>
        <v>0</v>
      </c>
      <c r="C9" s="261">
        <f>IF(C7-C8&lt;0,0,C7-C8)</f>
        <v>0</v>
      </c>
      <c r="D9" s="261">
        <f>IF(D7-D8&lt;0,0,D7-D8)</f>
        <v>0</v>
      </c>
      <c r="E9" s="261">
        <f>E7-E8</f>
        <v>-1658586.2673973336</v>
      </c>
      <c r="F9" s="261">
        <f>F7-F8</f>
        <v>-2035927.2285586847</v>
      </c>
      <c r="G9" s="261">
        <f>G7-G8</f>
        <v>-2578353.1153563964</v>
      </c>
    </row>
    <row r="10" spans="1:7" ht="22.5" customHeight="1">
      <c r="A10" s="257" t="s">
        <v>273</v>
      </c>
      <c r="B10" s="261"/>
      <c r="C10" s="261"/>
      <c r="D10" s="261"/>
      <c r="E10" s="261"/>
      <c r="F10" s="261"/>
      <c r="G10" s="261"/>
    </row>
    <row r="11" spans="1:7" ht="22.5" customHeight="1">
      <c r="A11" s="257" t="s">
        <v>274</v>
      </c>
      <c r="B11" s="261">
        <f aca="true" t="shared" si="0" ref="B11:G11">B9-B10</f>
        <v>0</v>
      </c>
      <c r="C11" s="261">
        <f t="shared" si="0"/>
        <v>0</v>
      </c>
      <c r="D11" s="261">
        <f t="shared" si="0"/>
        <v>0</v>
      </c>
      <c r="E11" s="261">
        <f t="shared" si="0"/>
        <v>-1658586.2673973336</v>
      </c>
      <c r="F11" s="261">
        <f t="shared" si="0"/>
        <v>-2035927.2285586847</v>
      </c>
      <c r="G11" s="261">
        <f t="shared" si="0"/>
        <v>-2578353.1153563964</v>
      </c>
    </row>
    <row r="12" spans="1:7" s="99" customFormat="1" ht="21.75" customHeight="1">
      <c r="A12" s="257" t="s">
        <v>275</v>
      </c>
      <c r="B12" s="258">
        <v>-1540844.94</v>
      </c>
      <c r="C12" s="261">
        <f>C11-B11</f>
        <v>0</v>
      </c>
      <c r="D12" s="261">
        <f>D11-C11</f>
        <v>0</v>
      </c>
      <c r="E12" s="261">
        <f>E11-D11</f>
        <v>-1658586.2673973336</v>
      </c>
      <c r="F12" s="261">
        <f>F11-E11</f>
        <v>-377340.96116135106</v>
      </c>
      <c r="G12" s="261">
        <f>G11-F11</f>
        <v>-542425.8867977117</v>
      </c>
    </row>
    <row r="13" spans="1:7" s="100" customFormat="1" ht="15">
      <c r="A13" s="164"/>
      <c r="B13" s="165"/>
      <c r="C13" s="165"/>
      <c r="D13" s="165"/>
      <c r="E13" s="165"/>
      <c r="F13" s="165"/>
      <c r="G13" s="165"/>
    </row>
    <row r="14" spans="1:7" ht="15">
      <c r="A14" s="166" t="s">
        <v>294</v>
      </c>
      <c r="B14" s="262"/>
      <c r="C14" s="167"/>
      <c r="D14" s="167"/>
      <c r="E14" s="167"/>
      <c r="F14" s="167"/>
      <c r="G14" s="168" t="s">
        <v>11</v>
      </c>
    </row>
    <row r="15" spans="1:7" ht="15">
      <c r="A15" s="445" t="s">
        <v>242</v>
      </c>
      <c r="B15" s="255">
        <v>2015</v>
      </c>
      <c r="C15" s="255">
        <f>B15+1</f>
        <v>2016</v>
      </c>
      <c r="D15" s="255">
        <f>C15+1</f>
        <v>2017</v>
      </c>
      <c r="E15" s="255">
        <f>D15+1</f>
        <v>2018</v>
      </c>
      <c r="F15" s="255">
        <f>E15+1</f>
        <v>2019</v>
      </c>
      <c r="G15" s="255">
        <f>F15+1</f>
        <v>2020</v>
      </c>
    </row>
    <row r="16" spans="1:7" ht="15">
      <c r="A16" s="445"/>
      <c r="B16" s="255" t="s">
        <v>16</v>
      </c>
      <c r="C16" s="256" t="s">
        <v>16</v>
      </c>
      <c r="D16" s="256" t="s">
        <v>196</v>
      </c>
      <c r="E16" s="256" t="s">
        <v>17</v>
      </c>
      <c r="F16" s="256" t="s">
        <v>17</v>
      </c>
      <c r="G16" s="256" t="s">
        <v>17</v>
      </c>
    </row>
    <row r="17" spans="1:7" s="101" customFormat="1" ht="15">
      <c r="A17" s="280" t="s">
        <v>46</v>
      </c>
      <c r="B17" s="263">
        <v>130000</v>
      </c>
      <c r="C17" s="263">
        <v>0</v>
      </c>
      <c r="D17" s="263">
        <f>Plano!F21</f>
        <v>0</v>
      </c>
      <c r="E17" s="264"/>
      <c r="F17" s="264"/>
      <c r="G17" s="264"/>
    </row>
    <row r="18" spans="1:7" ht="15">
      <c r="A18" s="257" t="s">
        <v>44</v>
      </c>
      <c r="B18" s="259">
        <f>Plano!D37</f>
        <v>0</v>
      </c>
      <c r="C18" s="259">
        <f>Plano!E37</f>
        <v>0</v>
      </c>
      <c r="D18" s="259">
        <f>Plano!F37</f>
        <v>0</v>
      </c>
      <c r="E18" s="259">
        <f>Projeções!G44</f>
        <v>0</v>
      </c>
      <c r="F18" s="259">
        <f>Projeções!H44</f>
        <v>0</v>
      </c>
      <c r="G18" s="259">
        <f>Projeções!I44</f>
        <v>0</v>
      </c>
    </row>
    <row r="19" spans="1:7" ht="15">
      <c r="A19" s="257" t="s">
        <v>45</v>
      </c>
      <c r="B19" s="259">
        <v>320000</v>
      </c>
      <c r="C19" s="259">
        <f>Plano!E50</f>
        <v>320000</v>
      </c>
      <c r="D19" s="259">
        <f>Plano!F50</f>
        <v>282129.12</v>
      </c>
      <c r="E19" s="259">
        <f>Projeções!G57</f>
        <v>334943.6912640001</v>
      </c>
      <c r="F19" s="259">
        <f>Projeções!H57</f>
        <v>393768.1770422401</v>
      </c>
      <c r="G19" s="259">
        <f>Projeções!I57</f>
        <v>462923.7131352835</v>
      </c>
    </row>
    <row r="20" spans="1:7" ht="15.75" customHeight="1" hidden="1">
      <c r="A20" s="281" t="s">
        <v>41</v>
      </c>
      <c r="B20" s="265"/>
      <c r="C20" s="265"/>
      <c r="D20" s="265"/>
      <c r="E20" s="265"/>
      <c r="F20" s="265"/>
      <c r="G20" s="265"/>
    </row>
    <row r="21" spans="1:7" ht="12.75">
      <c r="A21" s="450"/>
      <c r="B21" s="451"/>
      <c r="C21" s="451"/>
      <c r="D21" s="451"/>
      <c r="E21" s="451"/>
      <c r="F21" s="451"/>
      <c r="G21" s="452"/>
    </row>
    <row r="22" spans="1:3" ht="12">
      <c r="A22" s="98"/>
      <c r="C22" s="95"/>
    </row>
    <row r="23" spans="1:3" ht="12">
      <c r="A23" s="98"/>
      <c r="C23" s="95"/>
    </row>
    <row r="24" spans="1:3" ht="12">
      <c r="A24" s="98"/>
      <c r="C24" s="95"/>
    </row>
    <row r="25" spans="1:3" ht="12">
      <c r="A25" s="98"/>
      <c r="C25" s="95"/>
    </row>
    <row r="26" spans="1:3" ht="12">
      <c r="A26" s="98"/>
      <c r="C26" s="95"/>
    </row>
    <row r="27" spans="1:3" ht="12">
      <c r="A27" s="98"/>
      <c r="C27" s="95"/>
    </row>
    <row r="28" spans="1:3" ht="12">
      <c r="A28" s="98"/>
      <c r="C28" s="95"/>
    </row>
    <row r="29" spans="1:3" ht="12">
      <c r="A29" s="98"/>
      <c r="C29" s="95"/>
    </row>
    <row r="30" ht="12">
      <c r="A30" s="102"/>
    </row>
    <row r="31" ht="12">
      <c r="A31" s="102"/>
    </row>
    <row r="32" ht="12">
      <c r="A32" s="102"/>
    </row>
    <row r="33" ht="12">
      <c r="A33" s="102"/>
    </row>
    <row r="34" ht="12">
      <c r="A34" s="102"/>
    </row>
    <row r="35" ht="12">
      <c r="A35" s="102"/>
    </row>
    <row r="36" ht="12">
      <c r="A36" s="102"/>
    </row>
    <row r="37" ht="12">
      <c r="A37" s="102"/>
    </row>
    <row r="38" ht="12">
      <c r="A38" s="102"/>
    </row>
    <row r="39" ht="12">
      <c r="A39" s="102"/>
    </row>
    <row r="40" ht="12">
      <c r="A40" s="102"/>
    </row>
    <row r="41" ht="12">
      <c r="A41" s="102"/>
    </row>
    <row r="42" ht="12">
      <c r="A42" s="102"/>
    </row>
    <row r="43" ht="12">
      <c r="A43" s="102"/>
    </row>
  </sheetData>
  <sheetProtection/>
  <mergeCells count="6">
    <mergeCell ref="A15:A16"/>
    <mergeCell ref="A1:J1"/>
    <mergeCell ref="A2:J2"/>
    <mergeCell ref="A3:J3"/>
    <mergeCell ref="A5:A6"/>
    <mergeCell ref="A21:G21"/>
  </mergeCells>
  <printOptions/>
  <pageMargins left="0.787401575" right="0.787401575" top="0.984251969" bottom="0.984251969" header="0.492125985" footer="0.492125985"/>
  <pageSetup horizontalDpi="600" verticalDpi="600" orientation="landscape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O2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16.57421875" style="0" customWidth="1"/>
    <col min="4" max="4" width="13.00390625" style="0" customWidth="1"/>
    <col min="5" max="5" width="14.8515625" style="0" customWidth="1"/>
    <col min="6" max="6" width="21.8515625" style="0" customWidth="1"/>
    <col min="7" max="7" width="22.00390625" style="0" customWidth="1"/>
    <col min="8" max="8" width="20.28125" style="0" customWidth="1"/>
    <col min="9" max="9" width="11.28125" style="0" bestFit="1" customWidth="1"/>
    <col min="10" max="10" width="18.28125" style="0" bestFit="1" customWidth="1"/>
    <col min="11" max="11" width="21.00390625" style="0" customWidth="1"/>
    <col min="12" max="13" width="9.140625" style="0" customWidth="1"/>
  </cols>
  <sheetData>
    <row r="4" spans="1:13" ht="18" customHeight="1">
      <c r="A4" s="281"/>
      <c r="B4" s="281"/>
      <c r="C4" s="370">
        <v>2018</v>
      </c>
      <c r="D4" s="370">
        <v>2017</v>
      </c>
      <c r="E4" s="371" t="s">
        <v>424</v>
      </c>
      <c r="F4" s="371" t="s">
        <v>422</v>
      </c>
      <c r="G4" s="374" t="s">
        <v>427</v>
      </c>
      <c r="H4" s="382" t="s">
        <v>424</v>
      </c>
      <c r="J4" s="354"/>
      <c r="K4" s="355"/>
      <c r="L4" s="355"/>
      <c r="M4" s="355"/>
    </row>
    <row r="5" spans="1:15" ht="17.25" customHeight="1">
      <c r="A5" s="281"/>
      <c r="B5" s="281" t="s">
        <v>396</v>
      </c>
      <c r="C5" s="364">
        <v>1180429</v>
      </c>
      <c r="D5" s="365">
        <v>972140.05</v>
      </c>
      <c r="E5" s="364">
        <f aca="true" t="shared" si="0" ref="E5:E18">C5-D5</f>
        <v>208288.94999999995</v>
      </c>
      <c r="F5" s="364">
        <v>1180429</v>
      </c>
      <c r="G5" s="364">
        <f>F5</f>
        <v>1180429</v>
      </c>
      <c r="H5" s="364"/>
      <c r="J5" s="357"/>
      <c r="K5" s="358"/>
      <c r="L5" s="292"/>
      <c r="M5" s="292"/>
      <c r="N5" s="292"/>
      <c r="O5" s="292"/>
    </row>
    <row r="6" spans="1:15" ht="18" customHeight="1">
      <c r="A6" s="281">
        <v>2</v>
      </c>
      <c r="B6" s="281" t="s">
        <v>397</v>
      </c>
      <c r="C6" s="364">
        <v>123375.6</v>
      </c>
      <c r="D6" s="364">
        <v>308500</v>
      </c>
      <c r="E6" s="364">
        <f t="shared" si="0"/>
        <v>-185124.4</v>
      </c>
      <c r="F6" s="364">
        <v>129000</v>
      </c>
      <c r="G6" s="364">
        <f>F6*(1-C21)</f>
        <v>123375.6</v>
      </c>
      <c r="H6" s="373">
        <f>F6-G6</f>
        <v>5624.399999999994</v>
      </c>
      <c r="J6" s="357"/>
      <c r="K6" s="366"/>
      <c r="L6" s="356"/>
      <c r="M6" s="356"/>
      <c r="N6" s="292"/>
      <c r="O6" s="292"/>
    </row>
    <row r="7" spans="1:15" ht="18.75">
      <c r="A7" s="281">
        <v>3</v>
      </c>
      <c r="B7" s="281" t="s">
        <v>398</v>
      </c>
      <c r="C7" s="364">
        <v>15000</v>
      </c>
      <c r="D7" s="364">
        <v>8000</v>
      </c>
      <c r="E7" s="364">
        <f t="shared" si="0"/>
        <v>7000</v>
      </c>
      <c r="F7" s="364">
        <v>15000</v>
      </c>
      <c r="G7" s="364">
        <f>F7*(1-C21)</f>
        <v>14346</v>
      </c>
      <c r="H7" s="373">
        <f aca="true" t="shared" si="1" ref="H7:H17">F7-G7</f>
        <v>654</v>
      </c>
      <c r="J7" s="357"/>
      <c r="K7" s="358"/>
      <c r="L7" s="358"/>
      <c r="M7" s="358"/>
      <c r="N7" s="292"/>
      <c r="O7" s="292"/>
    </row>
    <row r="8" spans="1:15" ht="18.75">
      <c r="A8" s="281">
        <v>4</v>
      </c>
      <c r="B8" s="281" t="s">
        <v>399</v>
      </c>
      <c r="C8" s="364">
        <v>25000</v>
      </c>
      <c r="D8" s="364">
        <v>20000</v>
      </c>
      <c r="E8" s="364">
        <f t="shared" si="0"/>
        <v>5000</v>
      </c>
      <c r="F8" s="364">
        <v>25000</v>
      </c>
      <c r="G8" s="364">
        <f>F8*(1-C21)</f>
        <v>23910</v>
      </c>
      <c r="H8" s="373">
        <f t="shared" si="1"/>
        <v>1090</v>
      </c>
      <c r="J8" s="357"/>
      <c r="K8" s="358"/>
      <c r="L8" s="358"/>
      <c r="M8" s="358"/>
      <c r="N8" s="292"/>
      <c r="O8" s="292"/>
    </row>
    <row r="9" spans="1:15" ht="18.75">
      <c r="A9" s="281">
        <v>5</v>
      </c>
      <c r="B9" s="281" t="s">
        <v>406</v>
      </c>
      <c r="C9" s="364">
        <v>6063157.59</v>
      </c>
      <c r="D9" s="364">
        <v>6140000</v>
      </c>
      <c r="E9" s="364">
        <f t="shared" si="0"/>
        <v>-76842.41000000015</v>
      </c>
      <c r="F9" s="364">
        <v>6063157.59</v>
      </c>
      <c r="G9" s="364">
        <f>F9*(1-C21)</f>
        <v>5798803.919076</v>
      </c>
      <c r="H9" s="373">
        <f t="shared" si="1"/>
        <v>264353.6709239995</v>
      </c>
      <c r="I9" s="369">
        <f>H9-H21</f>
        <v>277714.5729240016</v>
      </c>
      <c r="J9" s="383"/>
      <c r="K9" s="367"/>
      <c r="L9" s="358"/>
      <c r="M9" s="358"/>
      <c r="N9" s="292"/>
      <c r="O9" s="292"/>
    </row>
    <row r="10" spans="1:15" ht="18.75">
      <c r="A10" s="281">
        <v>6</v>
      </c>
      <c r="B10" s="281" t="s">
        <v>400</v>
      </c>
      <c r="C10" s="364">
        <v>993332.25</v>
      </c>
      <c r="D10" s="364">
        <v>903928.41</v>
      </c>
      <c r="E10" s="364">
        <f t="shared" si="0"/>
        <v>89403.83999999997</v>
      </c>
      <c r="F10" s="364">
        <v>993332.25</v>
      </c>
      <c r="G10" s="364">
        <f>F10*(1-C21)</f>
        <v>950022.9639</v>
      </c>
      <c r="H10" s="373">
        <f t="shared" si="1"/>
        <v>43309.28610000003</v>
      </c>
      <c r="J10" s="357"/>
      <c r="K10" s="368"/>
      <c r="L10" s="358"/>
      <c r="M10" s="358"/>
      <c r="N10" s="292"/>
      <c r="O10" s="292"/>
    </row>
    <row r="11" spans="1:15" ht="18.75">
      <c r="A11" s="281">
        <v>7</v>
      </c>
      <c r="B11" s="281" t="s">
        <v>401</v>
      </c>
      <c r="C11" s="364">
        <v>6152516</v>
      </c>
      <c r="D11" s="364">
        <v>4239808</v>
      </c>
      <c r="E11" s="364">
        <f t="shared" si="0"/>
        <v>1912708</v>
      </c>
      <c r="F11" s="372">
        <v>6152516</v>
      </c>
      <c r="G11" s="364">
        <f>F11*(1-C21)</f>
        <v>5884266.3024</v>
      </c>
      <c r="H11" s="373">
        <f t="shared" si="1"/>
        <v>268249.6975999996</v>
      </c>
      <c r="J11" s="357"/>
      <c r="K11" s="358"/>
      <c r="L11" s="358"/>
      <c r="M11" s="358"/>
      <c r="N11" s="292"/>
      <c r="O11" s="292"/>
    </row>
    <row r="12" spans="1:15" ht="18.75">
      <c r="A12" s="281">
        <v>8</v>
      </c>
      <c r="B12" s="281" t="s">
        <v>402</v>
      </c>
      <c r="C12" s="364">
        <v>4225000</v>
      </c>
      <c r="D12" s="364">
        <v>3510980.18</v>
      </c>
      <c r="E12" s="364">
        <f t="shared" si="0"/>
        <v>714019.8199999998</v>
      </c>
      <c r="F12" s="364">
        <v>4225000</v>
      </c>
      <c r="G12" s="364">
        <f>F12*(1-C21)</f>
        <v>4040790</v>
      </c>
      <c r="H12" s="373">
        <f t="shared" si="1"/>
        <v>184210</v>
      </c>
      <c r="J12" s="357"/>
      <c r="K12" s="358"/>
      <c r="L12" s="358"/>
      <c r="M12" s="358"/>
      <c r="N12" s="292"/>
      <c r="O12" s="292"/>
    </row>
    <row r="13" spans="1:15" ht="18.75">
      <c r="A13" s="281">
        <v>9</v>
      </c>
      <c r="B13" s="281" t="s">
        <v>403</v>
      </c>
      <c r="C13" s="364">
        <v>1305000</v>
      </c>
      <c r="D13" s="364">
        <v>841000</v>
      </c>
      <c r="E13" s="364">
        <f t="shared" si="0"/>
        <v>464000</v>
      </c>
      <c r="F13" s="364">
        <v>1305000</v>
      </c>
      <c r="G13" s="364">
        <f>F13*(1-C21)</f>
        <v>1248102</v>
      </c>
      <c r="H13" s="373">
        <f t="shared" si="1"/>
        <v>56898</v>
      </c>
      <c r="J13" s="357"/>
      <c r="K13" s="358"/>
      <c r="L13" s="358"/>
      <c r="M13" s="358"/>
      <c r="N13" s="292"/>
      <c r="O13" s="292"/>
    </row>
    <row r="14" spans="1:15" ht="18.75">
      <c r="A14" s="281">
        <v>10</v>
      </c>
      <c r="B14" s="281" t="s">
        <v>404</v>
      </c>
      <c r="C14" s="364">
        <v>238000</v>
      </c>
      <c r="D14" s="364">
        <v>250000</v>
      </c>
      <c r="E14" s="364">
        <f t="shared" si="0"/>
        <v>-12000</v>
      </c>
      <c r="F14" s="364">
        <v>238000</v>
      </c>
      <c r="G14" s="364">
        <f>F14*(1-C21)</f>
        <v>227623.2</v>
      </c>
      <c r="H14" s="373">
        <f t="shared" si="1"/>
        <v>10376.799999999988</v>
      </c>
      <c r="J14" s="357"/>
      <c r="K14" s="358"/>
      <c r="L14" s="359"/>
      <c r="M14" s="358"/>
      <c r="N14" s="292"/>
      <c r="O14" s="292"/>
    </row>
    <row r="15" spans="1:15" ht="18.75">
      <c r="A15" s="281">
        <v>11</v>
      </c>
      <c r="B15" s="281" t="s">
        <v>405</v>
      </c>
      <c r="C15" s="364">
        <v>48000</v>
      </c>
      <c r="D15" s="364">
        <v>35000</v>
      </c>
      <c r="E15" s="364">
        <f t="shared" si="0"/>
        <v>13000</v>
      </c>
      <c r="F15" s="364">
        <v>48000</v>
      </c>
      <c r="G15" s="364">
        <f>F15*(1-C21)</f>
        <v>45907.200000000004</v>
      </c>
      <c r="H15" s="373">
        <f t="shared" si="1"/>
        <v>2092.7999999999956</v>
      </c>
      <c r="J15" s="357"/>
      <c r="K15" s="358"/>
      <c r="L15" s="358"/>
      <c r="M15" s="358"/>
      <c r="N15" s="292"/>
      <c r="O15" s="292"/>
    </row>
    <row r="16" spans="1:15" ht="18.75">
      <c r="A16" s="281">
        <v>12</v>
      </c>
      <c r="B16" s="281" t="s">
        <v>423</v>
      </c>
      <c r="C16" s="364">
        <v>851000</v>
      </c>
      <c r="D16" s="364">
        <v>825000</v>
      </c>
      <c r="E16" s="364">
        <f t="shared" si="0"/>
        <v>26000</v>
      </c>
      <c r="F16" s="364">
        <v>851000</v>
      </c>
      <c r="G16" s="364">
        <f>F16*(1-C21)</f>
        <v>813896.4</v>
      </c>
      <c r="H16" s="373">
        <f t="shared" si="1"/>
        <v>37103.59999999998</v>
      </c>
      <c r="J16" s="357"/>
      <c r="K16" s="358"/>
      <c r="L16" s="358"/>
      <c r="M16" s="358"/>
      <c r="N16" s="292"/>
      <c r="O16" s="292"/>
    </row>
    <row r="17" spans="1:15" ht="18.75">
      <c r="A17" s="281">
        <v>13</v>
      </c>
      <c r="B17" s="281" t="s">
        <v>420</v>
      </c>
      <c r="C17" s="364">
        <v>556199.16</v>
      </c>
      <c r="D17" s="364">
        <v>656071.59</v>
      </c>
      <c r="E17" s="364">
        <f t="shared" si="0"/>
        <v>-99872.42999999993</v>
      </c>
      <c r="F17" s="364">
        <v>556199.16</v>
      </c>
      <c r="G17" s="364">
        <f>F17*(1-C21)</f>
        <v>531948.876624</v>
      </c>
      <c r="H17" s="373">
        <f t="shared" si="1"/>
        <v>24250.283376000007</v>
      </c>
      <c r="J17" s="357"/>
      <c r="K17" s="358"/>
      <c r="L17" s="358"/>
      <c r="M17" s="360"/>
      <c r="N17" s="292"/>
      <c r="O17" s="292"/>
    </row>
    <row r="18" spans="1:15" ht="18.75">
      <c r="A18" s="281">
        <v>14</v>
      </c>
      <c r="B18" s="281" t="s">
        <v>421</v>
      </c>
      <c r="C18" s="364">
        <v>235000</v>
      </c>
      <c r="D18" s="364">
        <v>0</v>
      </c>
      <c r="E18" s="364">
        <f t="shared" si="0"/>
        <v>235000</v>
      </c>
      <c r="F18" s="364">
        <v>235000</v>
      </c>
      <c r="G18" s="364">
        <f>F18*(1-C21)</f>
        <v>224754</v>
      </c>
      <c r="H18" s="373">
        <f>F18-G18</f>
        <v>10246</v>
      </c>
      <c r="J18" s="357"/>
      <c r="K18" s="358"/>
      <c r="L18" s="358"/>
      <c r="M18" s="360"/>
      <c r="N18" s="292"/>
      <c r="O18" s="292"/>
    </row>
    <row r="19" spans="1:15" ht="18.75">
      <c r="A19" s="377"/>
      <c r="B19" s="377" t="s">
        <v>429</v>
      </c>
      <c r="C19" s="376"/>
      <c r="D19" s="376"/>
      <c r="E19" s="376"/>
      <c r="F19" s="376">
        <f>F5+F6+F7+F8+F9+F10+F11+F12+F13+F14+F15+F16+F17+F18</f>
        <v>22016634</v>
      </c>
      <c r="G19" s="378">
        <f>G5+G6+G7+G8+G9+G10+G11+G12+G13+G14+G15+G16+G17+G18</f>
        <v>21108175.461999997</v>
      </c>
      <c r="H19" s="378">
        <f>SUM(H5:H18)</f>
        <v>908458.5379999992</v>
      </c>
      <c r="I19" t="s">
        <v>425</v>
      </c>
      <c r="J19" s="357"/>
      <c r="K19" s="358"/>
      <c r="L19" s="358"/>
      <c r="M19" s="360"/>
      <c r="N19" s="292"/>
      <c r="O19" s="292"/>
    </row>
    <row r="20" spans="1:15" ht="18.75">
      <c r="A20" s="281"/>
      <c r="B20" s="281" t="s">
        <v>428</v>
      </c>
      <c r="C20" s="379">
        <v>21094814.56</v>
      </c>
      <c r="D20" s="364"/>
      <c r="E20" s="364"/>
      <c r="F20" s="364"/>
      <c r="G20" s="375">
        <f>C20-G19</f>
        <v>-13360.901999998838</v>
      </c>
      <c r="H20" s="373">
        <f>F19-C20</f>
        <v>921819.4400000013</v>
      </c>
      <c r="I20" t="s">
        <v>426</v>
      </c>
      <c r="J20" s="357"/>
      <c r="K20" s="358"/>
      <c r="L20" s="358"/>
      <c r="M20" s="359"/>
      <c r="N20" s="292"/>
      <c r="O20" s="292"/>
    </row>
    <row r="21" spans="1:15" ht="18.75">
      <c r="A21" s="281"/>
      <c r="B21" s="380" t="s">
        <v>424</v>
      </c>
      <c r="C21" s="381">
        <v>0.0436</v>
      </c>
      <c r="D21" s="281"/>
      <c r="E21" s="281"/>
      <c r="F21" s="281"/>
      <c r="G21" s="281"/>
      <c r="H21" s="373">
        <f>H19-H20</f>
        <v>-13360.902000002097</v>
      </c>
      <c r="J21" s="361"/>
      <c r="K21" s="362"/>
      <c r="L21" s="358"/>
      <c r="M21" s="363"/>
      <c r="N21" s="292"/>
      <c r="O21" s="292"/>
    </row>
    <row r="22" spans="3:15" ht="12.75">
      <c r="C22" s="340"/>
      <c r="J22" s="292"/>
      <c r="K22" s="292"/>
      <c r="L22" s="292"/>
      <c r="M22" s="292"/>
      <c r="N22" s="292"/>
      <c r="O22" s="292"/>
    </row>
    <row r="23" spans="3:15" ht="12.75">
      <c r="C23" s="24">
        <v>21092039.4</v>
      </c>
      <c r="J23" s="292"/>
      <c r="K23" s="292"/>
      <c r="L23" s="292"/>
      <c r="M23" s="292"/>
      <c r="N23" s="292"/>
      <c r="O23" s="292"/>
    </row>
    <row r="24" ht="12.75">
      <c r="C24" s="24">
        <f>C20-C23</f>
        <v>2775.160000000149</v>
      </c>
    </row>
    <row r="26" ht="12.75">
      <c r="F26" s="35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FB112"/>
  <sheetViews>
    <sheetView zoomScale="85" zoomScaleNormal="85" zoomScaleSheetLayoutView="30" zoomScalePageLayoutView="0" workbookViewId="0" topLeftCell="A1">
      <selection activeCell="C5" sqref="C5"/>
    </sheetView>
  </sheetViews>
  <sheetFormatPr defaultColWidth="19.140625" defaultRowHeight="12.75"/>
  <cols>
    <col min="1" max="1" width="19.57421875" style="9" customWidth="1"/>
    <col min="2" max="2" width="53.57421875" style="9" customWidth="1"/>
    <col min="3" max="3" width="25.28125" style="9" customWidth="1"/>
    <col min="4" max="4" width="23.28125" style="9" customWidth="1"/>
    <col min="5" max="5" width="23.00390625" style="9" customWidth="1"/>
    <col min="6" max="6" width="22.7109375" style="9" customWidth="1"/>
    <col min="7" max="7" width="22.57421875" style="9" customWidth="1"/>
    <col min="8" max="8" width="23.28125" style="9" customWidth="1"/>
    <col min="9" max="9" width="24.00390625" style="9" customWidth="1"/>
    <col min="10" max="10" width="19.140625" style="9" hidden="1" customWidth="1"/>
    <col min="11" max="16384" width="19.140625" style="9" customWidth="1"/>
  </cols>
  <sheetData>
    <row r="1" spans="1:5" s="2" customFormat="1" ht="17.25" customHeight="1">
      <c r="A1" s="433" t="str">
        <f>Parâmetros!A7</f>
        <v>Município de Barra do Quaraí</v>
      </c>
      <c r="B1" s="434"/>
      <c r="C1" s="3"/>
      <c r="D1" s="3"/>
      <c r="E1" s="3"/>
    </row>
    <row r="2" spans="1:10" s="2" customFormat="1" ht="30" customHeight="1">
      <c r="A2" s="435" t="s">
        <v>409</v>
      </c>
      <c r="B2" s="435"/>
      <c r="C2" s="436"/>
      <c r="D2" s="63">
        <v>20.18</v>
      </c>
      <c r="E2" s="63"/>
      <c r="F2" s="64"/>
      <c r="G2" s="64"/>
      <c r="H2" s="64"/>
      <c r="I2" s="64"/>
      <c r="J2" s="4"/>
    </row>
    <row r="3" spans="1:10" s="2" customFormat="1" ht="19.5" customHeight="1">
      <c r="A3" s="65"/>
      <c r="B3" s="66"/>
      <c r="C3" s="66"/>
      <c r="D3" s="66"/>
      <c r="E3" s="66"/>
      <c r="F3" s="66"/>
      <c r="G3" s="66"/>
      <c r="H3" s="66"/>
      <c r="I3" s="66"/>
      <c r="J3" s="6"/>
    </row>
    <row r="4" spans="1:10" s="2" customFormat="1" ht="15.75" hidden="1">
      <c r="A4" s="67"/>
      <c r="B4" s="68"/>
      <c r="C4" s="68"/>
      <c r="D4" s="68"/>
      <c r="E4" s="68"/>
      <c r="F4" s="68"/>
      <c r="G4" s="68"/>
      <c r="H4" s="68"/>
      <c r="I4" s="68"/>
      <c r="J4" s="5"/>
    </row>
    <row r="5" spans="1:10" s="2" customFormat="1" ht="16.5" thickBot="1">
      <c r="A5" s="69"/>
      <c r="B5" s="70"/>
      <c r="C5" s="70"/>
      <c r="D5" s="70"/>
      <c r="E5" s="70"/>
      <c r="F5" s="70"/>
      <c r="G5" s="70"/>
      <c r="H5" s="70"/>
      <c r="I5" s="71" t="s">
        <v>96</v>
      </c>
      <c r="J5" s="17"/>
    </row>
    <row r="6" spans="1:80" s="1" customFormat="1" ht="21" thickTop="1">
      <c r="A6" s="427" t="s">
        <v>0</v>
      </c>
      <c r="B6" s="410" t="s">
        <v>1</v>
      </c>
      <c r="C6" s="428" t="s">
        <v>15</v>
      </c>
      <c r="D6" s="428" t="s">
        <v>15</v>
      </c>
      <c r="E6" s="428" t="s">
        <v>15</v>
      </c>
      <c r="F6" s="428" t="s">
        <v>197</v>
      </c>
      <c r="G6" s="428" t="s">
        <v>18</v>
      </c>
      <c r="H6" s="428" t="s">
        <v>18</v>
      </c>
      <c r="I6" s="428" t="s">
        <v>18</v>
      </c>
      <c r="J6" s="20" t="s">
        <v>18</v>
      </c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</row>
    <row r="7" spans="1:80" s="1" customFormat="1" ht="20.25">
      <c r="A7" s="429"/>
      <c r="B7" s="411" t="s">
        <v>14</v>
      </c>
      <c r="C7" s="412">
        <v>2014</v>
      </c>
      <c r="D7" s="412">
        <f aca="true" t="shared" si="0" ref="D7:I7">C7+1</f>
        <v>2015</v>
      </c>
      <c r="E7" s="412">
        <f t="shared" si="0"/>
        <v>2016</v>
      </c>
      <c r="F7" s="412">
        <f t="shared" si="0"/>
        <v>2017</v>
      </c>
      <c r="G7" s="412">
        <f t="shared" si="0"/>
        <v>2018</v>
      </c>
      <c r="H7" s="412">
        <f t="shared" si="0"/>
        <v>2019</v>
      </c>
      <c r="I7" s="412">
        <f t="shared" si="0"/>
        <v>2020</v>
      </c>
      <c r="J7" s="21">
        <v>2005</v>
      </c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</row>
    <row r="8" spans="1:80" s="7" customFormat="1" ht="20.25">
      <c r="A8" s="430"/>
      <c r="B8" s="431"/>
      <c r="C8" s="432"/>
      <c r="D8" s="432"/>
      <c r="E8" s="432"/>
      <c r="F8" s="432"/>
      <c r="G8" s="432"/>
      <c r="H8" s="432"/>
      <c r="I8" s="432"/>
      <c r="J8" s="22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</row>
    <row r="9" spans="1:80" s="25" customFormat="1" ht="20.25">
      <c r="A9" s="413" t="s">
        <v>50</v>
      </c>
      <c r="B9" s="414" t="s">
        <v>2</v>
      </c>
      <c r="C9" s="415">
        <f>Plano!C3</f>
        <v>18930238.85</v>
      </c>
      <c r="D9" s="415">
        <f>Plano!D3</f>
        <v>20015226.96</v>
      </c>
      <c r="E9" s="415">
        <f>Plano!E3</f>
        <v>20947403.79</v>
      </c>
      <c r="F9" s="415">
        <f>Plano!F3</f>
        <v>22585636</v>
      </c>
      <c r="G9" s="415">
        <f>IF(G23=0,"-",(G10+G11+G14+G19+G20+G21+G22+G23))</f>
        <v>24481432.98949501</v>
      </c>
      <c r="H9" s="415">
        <f>IF(H23=0,"-",(H10+H11+H14+H19+H20+H21+H22+H23))</f>
        <v>26480417.802903995</v>
      </c>
      <c r="I9" s="415">
        <f>IF(I23=0,"-",(I10+I11+I14+I19+I20+I21+I22+I23))</f>
        <v>28573848.47084391</v>
      </c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</row>
    <row r="10" spans="1:80" s="25" customFormat="1" ht="20.25">
      <c r="A10" s="413" t="s">
        <v>51</v>
      </c>
      <c r="B10" s="414" t="s">
        <v>52</v>
      </c>
      <c r="C10" s="415">
        <f>Plano!C4</f>
        <v>859920.58</v>
      </c>
      <c r="D10" s="415">
        <f>Plano!D4</f>
        <v>995747.33</v>
      </c>
      <c r="E10" s="415">
        <f>Plano!E4</f>
        <v>759923.39</v>
      </c>
      <c r="F10" s="415">
        <f>Plano!F4</f>
        <v>810274</v>
      </c>
      <c r="G10" s="416">
        <f>IF(F10=0,"-",(F10*(1+Parâmetros!E11)*(1+Parâmetros!E12)*(1+Parâmetros!E15)))</f>
        <v>827351.3901800603</v>
      </c>
      <c r="H10" s="416">
        <f>IF(G10=0,"-",(G10*(1+Parâmetros!F11)*(1+Parâmetros!F12)*(1+Parâmetros!F15)))</f>
        <v>789265.5490753602</v>
      </c>
      <c r="I10" s="416">
        <f>IF(H10=0,"-",(H10*(1+Parâmetros!G11)*(1+Parâmetros!G12)*(1+Parâmetros!G15)))</f>
        <v>798255.4832000536</v>
      </c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</row>
    <row r="11" spans="1:80" s="25" customFormat="1" ht="20.25">
      <c r="A11" s="413" t="s">
        <v>53</v>
      </c>
      <c r="B11" s="414" t="s">
        <v>54</v>
      </c>
      <c r="C11" s="415">
        <f>Plano!C5</f>
        <v>25516.54</v>
      </c>
      <c r="D11" s="415">
        <f>Plano!D5</f>
        <v>34397.73</v>
      </c>
      <c r="E11" s="415">
        <f>Plano!E5</f>
        <v>40487.21</v>
      </c>
      <c r="F11" s="415">
        <f>Plano!F5</f>
        <v>43321</v>
      </c>
      <c r="G11" s="416">
        <f>G12+G13</f>
        <v>47072.858525999996</v>
      </c>
      <c r="H11" s="416">
        <f>H12+H13</f>
        <v>50465.187612105445</v>
      </c>
      <c r="I11" s="416">
        <f>I12+I13</f>
        <v>54075.61852943831</v>
      </c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</row>
    <row r="12" spans="1:80" s="25" customFormat="1" ht="20.25">
      <c r="A12" s="417" t="s">
        <v>53</v>
      </c>
      <c r="B12" s="418" t="s">
        <v>222</v>
      </c>
      <c r="C12" s="415">
        <f>Plano!C6</f>
        <v>25516.54</v>
      </c>
      <c r="D12" s="415">
        <f>Plano!D6</f>
        <v>34397.73</v>
      </c>
      <c r="E12" s="415">
        <f>Plano!E6</f>
        <v>40487.21</v>
      </c>
      <c r="F12" s="415">
        <f>Plano!F6</f>
        <v>43321</v>
      </c>
      <c r="G12" s="416">
        <f>F12*(1+Parâmetros!E11)*(1+Parâmetros!E12)</f>
        <v>47072.858525999996</v>
      </c>
      <c r="H12" s="416">
        <f>G12*(1+Parâmetros!F11)*(1+Parâmetros!F12)</f>
        <v>50465.187612105445</v>
      </c>
      <c r="I12" s="416">
        <f>H12*(1+Parâmetros!G11)*(1+Parâmetros!G12)</f>
        <v>54075.61852943831</v>
      </c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</row>
    <row r="13" spans="1:80" s="25" customFormat="1" ht="20.25">
      <c r="A13" s="417" t="s">
        <v>223</v>
      </c>
      <c r="B13" s="419" t="s">
        <v>380</v>
      </c>
      <c r="C13" s="415">
        <f>Plano!C7</f>
        <v>0</v>
      </c>
      <c r="D13" s="415">
        <f>Plano!D7</f>
        <v>0</v>
      </c>
      <c r="E13" s="415">
        <f>Plano!E7</f>
        <v>0</v>
      </c>
      <c r="F13" s="415">
        <f>Plano!F7</f>
        <v>0</v>
      </c>
      <c r="G13" s="416">
        <f>F13*(1+Parâmetros!E11)*(1+Parâmetros!E17)</f>
        <v>0</v>
      </c>
      <c r="H13" s="416">
        <f>G13*(1+Parâmetros!F11)*(1+Parâmetros!F17)</f>
        <v>0</v>
      </c>
      <c r="I13" s="416">
        <f>H13*(1+Parâmetros!G11)*(1+Parâmetros!G17)</f>
        <v>0</v>
      </c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</row>
    <row r="14" spans="1:80" s="25" customFormat="1" ht="20.25">
      <c r="A14" s="413" t="s">
        <v>55</v>
      </c>
      <c r="B14" s="414" t="s">
        <v>3</v>
      </c>
      <c r="C14" s="415">
        <f>Plano!C8</f>
        <v>123570.86</v>
      </c>
      <c r="D14" s="415">
        <f>Plano!D8</f>
        <v>102748.22</v>
      </c>
      <c r="E14" s="415">
        <f>Plano!E8</f>
        <v>96206.06</v>
      </c>
      <c r="F14" s="415">
        <f>Plano!F8</f>
        <v>104306</v>
      </c>
      <c r="G14" s="415">
        <f>G15+G18</f>
        <v>110564.36</v>
      </c>
      <c r="H14" s="415">
        <f>H15+H18</f>
        <v>115539.75619999999</v>
      </c>
      <c r="I14" s="415">
        <f>I15+I18</f>
        <v>120739.04522899998</v>
      </c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439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</row>
    <row r="15" spans="1:80" ht="20.25">
      <c r="A15" s="417" t="s">
        <v>56</v>
      </c>
      <c r="B15" s="418" t="s">
        <v>188</v>
      </c>
      <c r="C15" s="415">
        <f>Plano!C9</f>
        <v>123570.86</v>
      </c>
      <c r="D15" s="415">
        <f>Plano!D9</f>
        <v>102748.22</v>
      </c>
      <c r="E15" s="415">
        <f>Plano!E9</f>
        <v>96206.06</v>
      </c>
      <c r="F15" s="415">
        <f>Plano!F9</f>
        <v>104306</v>
      </c>
      <c r="G15" s="416">
        <f>G16+G17</f>
        <v>110564.36</v>
      </c>
      <c r="H15" s="416">
        <f>H16+H17</f>
        <v>115539.75619999999</v>
      </c>
      <c r="I15" s="416">
        <f>I16+I17</f>
        <v>120739.04522899998</v>
      </c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</row>
    <row r="16" spans="1:9" ht="20.25">
      <c r="A16" s="417" t="s">
        <v>56</v>
      </c>
      <c r="B16" s="418" t="s">
        <v>224</v>
      </c>
      <c r="C16" s="415">
        <f>Plano!C10</f>
        <v>123570.86</v>
      </c>
      <c r="D16" s="415">
        <f>Plano!D10</f>
        <v>102748.22</v>
      </c>
      <c r="E16" s="415">
        <f>Plano!E10</f>
        <v>96206.06</v>
      </c>
      <c r="F16" s="415">
        <f>Plano!F10</f>
        <v>104306</v>
      </c>
      <c r="G16" s="416">
        <f>F16*(1+Parâmetros!E11)</f>
        <v>110564.36</v>
      </c>
      <c r="H16" s="416">
        <f>G16*(1+Parâmetros!F11)</f>
        <v>115539.75619999999</v>
      </c>
      <c r="I16" s="416">
        <f>H16*(1+Parâmetros!G11)</f>
        <v>120739.04522899998</v>
      </c>
    </row>
    <row r="17" spans="1:9" ht="20.25">
      <c r="A17" s="417" t="s">
        <v>56</v>
      </c>
      <c r="B17" s="419" t="s">
        <v>373</v>
      </c>
      <c r="C17" s="415">
        <f>Plano!C11</f>
        <v>0</v>
      </c>
      <c r="D17" s="415">
        <f>Plano!D11</f>
        <v>0</v>
      </c>
      <c r="E17" s="415">
        <f>Plano!E11</f>
        <v>0</v>
      </c>
      <c r="F17" s="415">
        <f>Plano!F11</f>
        <v>0</v>
      </c>
      <c r="G17" s="416">
        <f>F17*(1+Parâmetros!E11)</f>
        <v>0</v>
      </c>
      <c r="H17" s="416">
        <f>G17*(1+Parâmetros!F11)</f>
        <v>0</v>
      </c>
      <c r="I17" s="416">
        <f>H17*(1+Parâmetros!G11)</f>
        <v>0</v>
      </c>
    </row>
    <row r="18" spans="1:9" ht="20.25">
      <c r="A18" s="417" t="s">
        <v>57</v>
      </c>
      <c r="B18" s="418" t="s">
        <v>58</v>
      </c>
      <c r="C18" s="415">
        <f>Plano!C12</f>
        <v>0</v>
      </c>
      <c r="D18" s="415">
        <f>Plano!D12</f>
        <v>0</v>
      </c>
      <c r="E18" s="415">
        <f>Plano!E12</f>
        <v>0</v>
      </c>
      <c r="F18" s="415">
        <f>Plano!F12</f>
        <v>0</v>
      </c>
      <c r="G18" s="416">
        <f>F18*(1+Parâmetros!E11)*(1+Parâmetros!E12)</f>
        <v>0</v>
      </c>
      <c r="H18" s="416">
        <f>G18*(1+Parâmetros!F11)*(1+Parâmetros!F12)</f>
        <v>0</v>
      </c>
      <c r="I18" s="416">
        <f>H18*(1+Parâmetros!G11)*(1+Parâmetros!G12)</f>
        <v>0</v>
      </c>
    </row>
    <row r="19" spans="1:9" ht="20.25">
      <c r="A19" s="413" t="s">
        <v>59</v>
      </c>
      <c r="B19" s="414" t="s">
        <v>60</v>
      </c>
      <c r="C19" s="420">
        <f>Plano!C13</f>
        <v>0</v>
      </c>
      <c r="D19" s="415">
        <f>Plano!D13</f>
        <v>0</v>
      </c>
      <c r="E19" s="415">
        <f>Plano!E13</f>
        <v>0</v>
      </c>
      <c r="F19" s="415">
        <f>Plano!F13</f>
        <v>0</v>
      </c>
      <c r="G19" s="416">
        <f>F19*(1+Parâmetros!E11)*(1+Parâmetros!E12)</f>
        <v>0</v>
      </c>
      <c r="H19" s="416">
        <f>G19*(1+Parâmetros!F11)*(1+Parâmetros!F12)</f>
        <v>0</v>
      </c>
      <c r="I19" s="416">
        <f>H19*(1+Parâmetros!G11)*(1+Parâmetros!G12)</f>
        <v>0</v>
      </c>
    </row>
    <row r="20" spans="1:9" ht="20.25">
      <c r="A20" s="413" t="s">
        <v>61</v>
      </c>
      <c r="B20" s="414" t="s">
        <v>4</v>
      </c>
      <c r="C20" s="415">
        <f>Plano!C14</f>
        <v>0</v>
      </c>
      <c r="D20" s="415">
        <f>Plano!D14</f>
        <v>0</v>
      </c>
      <c r="E20" s="415">
        <f>Plano!E14</f>
        <v>0</v>
      </c>
      <c r="F20" s="415">
        <f>Plano!F14</f>
        <v>0</v>
      </c>
      <c r="G20" s="416">
        <f>F20*(1+Parâmetros!E11)*(1+Parâmetros!E12)</f>
        <v>0</v>
      </c>
      <c r="H20" s="416">
        <f>G20*(1+Parâmetros!F11)*(1+Parâmetros!F12)</f>
        <v>0</v>
      </c>
      <c r="I20" s="416">
        <f>H20*(1+Parâmetros!G11)*(1+Parâmetros!G12)</f>
        <v>0</v>
      </c>
    </row>
    <row r="21" spans="1:158" ht="20.25">
      <c r="A21" s="413" t="s">
        <v>62</v>
      </c>
      <c r="B21" s="414" t="s">
        <v>63</v>
      </c>
      <c r="C21" s="415">
        <f>Plano!C15</f>
        <v>0</v>
      </c>
      <c r="D21" s="415">
        <f>Plano!D15</f>
        <v>0</v>
      </c>
      <c r="E21" s="415">
        <f>Plano!E15</f>
        <v>0</v>
      </c>
      <c r="F21" s="415">
        <f>Plano!F15</f>
        <v>0</v>
      </c>
      <c r="G21" s="416">
        <f>F21*(1+Parâmetros!E11)*(1+Parâmetros!E12)</f>
        <v>0</v>
      </c>
      <c r="H21" s="416">
        <f>G21*(1+Parâmetros!F11)*(1+Parâmetros!F12)</f>
        <v>0</v>
      </c>
      <c r="I21" s="416">
        <f>H21*(1+Parâmetros!G11)*(1+Parâmetros!G12)</f>
        <v>0</v>
      </c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  <c r="DO21" s="441"/>
      <c r="DP21" s="441"/>
      <c r="DQ21" s="441"/>
      <c r="DR21" s="441"/>
      <c r="DS21" s="441"/>
      <c r="DT21" s="441"/>
      <c r="DU21" s="441"/>
      <c r="DV21" s="441"/>
      <c r="DW21" s="441"/>
      <c r="DX21" s="441"/>
      <c r="DY21" s="441"/>
      <c r="DZ21" s="441"/>
      <c r="EA21" s="441"/>
      <c r="EB21" s="441"/>
      <c r="EC21" s="441"/>
      <c r="ED21" s="441"/>
      <c r="EE21" s="441"/>
      <c r="EF21" s="441"/>
      <c r="EG21" s="441"/>
      <c r="EH21" s="441"/>
      <c r="EI21" s="441"/>
      <c r="EJ21" s="441"/>
      <c r="EK21" s="441"/>
      <c r="EL21" s="441"/>
      <c r="EM21" s="441"/>
      <c r="EN21" s="441"/>
      <c r="EO21" s="441"/>
      <c r="EP21" s="441"/>
      <c r="EQ21" s="441"/>
      <c r="ER21" s="441"/>
      <c r="ES21" s="441"/>
      <c r="ET21" s="441"/>
      <c r="EU21" s="441"/>
      <c r="EV21" s="441"/>
      <c r="EW21" s="441"/>
      <c r="EX21" s="441"/>
      <c r="EY21" s="441"/>
      <c r="EZ21" s="441"/>
      <c r="FA21" s="441"/>
      <c r="FB21" s="441"/>
    </row>
    <row r="22" spans="1:158" s="25" customFormat="1" ht="20.25">
      <c r="A22" s="413" t="s">
        <v>64</v>
      </c>
      <c r="B22" s="414" t="s">
        <v>65</v>
      </c>
      <c r="C22" s="415">
        <f>Plano!C16</f>
        <v>17669744.16</v>
      </c>
      <c r="D22" s="415">
        <f>Plano!D16</f>
        <v>18135584.23</v>
      </c>
      <c r="E22" s="415">
        <f>Plano!E16</f>
        <v>19266506.13</v>
      </c>
      <c r="F22" s="415">
        <f>Plano!F16</f>
        <v>20788464</v>
      </c>
      <c r="G22" s="416">
        <f>IF(F22=0,"-",(F22*(1+Parâmetros!E11)*(1+Parâmetros!E12)*(1+Parâmetros!E16)))</f>
        <v>22584487.476562947</v>
      </c>
      <c r="H22" s="416">
        <f>IF(G22=0,"-",(G22*(1+Parâmetros!F11)*(1+Parâmetros!F12)*(1+Parâmetros!F16)))</f>
        <v>24547469.77550903</v>
      </c>
      <c r="I22" s="416">
        <f>IF(H22=0,"-",(H22*(1+Parâmetros!G11)*(1+Parâmetros!G12)*(1+Parâmetros!G16)))</f>
        <v>26553154.80552665</v>
      </c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442"/>
      <c r="BF22" s="442"/>
      <c r="BG22" s="442"/>
      <c r="BH22" s="442"/>
      <c r="BI22" s="442"/>
      <c r="BJ22" s="442"/>
      <c r="BK22" s="442"/>
      <c r="BL22" s="442"/>
      <c r="BM22" s="442"/>
      <c r="BN22" s="442"/>
      <c r="BO22" s="442"/>
      <c r="BP22" s="442"/>
      <c r="BQ22" s="442"/>
      <c r="BR22" s="442"/>
      <c r="BS22" s="442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2"/>
      <c r="CI22" s="442"/>
      <c r="CJ22" s="442"/>
      <c r="CK22" s="442"/>
      <c r="CL22" s="442"/>
      <c r="CM22" s="442"/>
      <c r="CN22" s="442"/>
      <c r="CO22" s="442"/>
      <c r="CP22" s="442"/>
      <c r="CQ22" s="442"/>
      <c r="CR22" s="442"/>
      <c r="CS22" s="442"/>
      <c r="CT22" s="442"/>
      <c r="CU22" s="442"/>
      <c r="CV22" s="442"/>
      <c r="CW22" s="442"/>
      <c r="CX22" s="442"/>
      <c r="CY22" s="442"/>
      <c r="CZ22" s="442"/>
      <c r="DA22" s="442"/>
      <c r="DB22" s="442"/>
      <c r="DC22" s="442"/>
      <c r="DD22" s="442"/>
      <c r="DE22" s="442"/>
      <c r="DF22" s="442"/>
      <c r="DG22" s="442"/>
      <c r="DH22" s="442"/>
      <c r="DI22" s="442"/>
      <c r="DJ22" s="442"/>
      <c r="DK22" s="442"/>
      <c r="DL22" s="442"/>
      <c r="DM22" s="442"/>
      <c r="DN22" s="442"/>
      <c r="DO22" s="442"/>
      <c r="DP22" s="442"/>
      <c r="DQ22" s="442"/>
      <c r="DR22" s="442"/>
      <c r="DS22" s="442"/>
      <c r="DT22" s="442"/>
      <c r="DU22" s="442"/>
      <c r="DV22" s="442"/>
      <c r="DW22" s="442"/>
      <c r="DX22" s="442"/>
      <c r="DY22" s="442"/>
      <c r="DZ22" s="442"/>
      <c r="EA22" s="442"/>
      <c r="EB22" s="442"/>
      <c r="EC22" s="442"/>
      <c r="ED22" s="442"/>
      <c r="EE22" s="442"/>
      <c r="EF22" s="442"/>
      <c r="EG22" s="442"/>
      <c r="EH22" s="442"/>
      <c r="EI22" s="442"/>
      <c r="EJ22" s="442"/>
      <c r="EK22" s="442"/>
      <c r="EL22" s="442"/>
      <c r="EM22" s="442"/>
      <c r="EN22" s="442"/>
      <c r="EO22" s="442"/>
      <c r="EP22" s="442"/>
      <c r="EQ22" s="442"/>
      <c r="ER22" s="442"/>
      <c r="ES22" s="442"/>
      <c r="ET22" s="442"/>
      <c r="EU22" s="442"/>
      <c r="EV22" s="442"/>
      <c r="EW22" s="442"/>
      <c r="EX22" s="442"/>
      <c r="EY22" s="442"/>
      <c r="EZ22" s="442"/>
      <c r="FA22" s="442"/>
      <c r="FB22" s="442"/>
    </row>
    <row r="23" spans="1:158" s="25" customFormat="1" ht="20.25">
      <c r="A23" s="413" t="s">
        <v>66</v>
      </c>
      <c r="B23" s="414" t="s">
        <v>5</v>
      </c>
      <c r="C23" s="415">
        <f>Plano!C17</f>
        <v>251486.71</v>
      </c>
      <c r="D23" s="415">
        <f>Plano!D17</f>
        <v>746749.45</v>
      </c>
      <c r="E23" s="415">
        <f>Plano!E17</f>
        <v>784281</v>
      </c>
      <c r="F23" s="415">
        <f>Plano!F17</f>
        <v>839271</v>
      </c>
      <c r="G23" s="416">
        <f>G24+G25</f>
        <v>911956.904226</v>
      </c>
      <c r="H23" s="416">
        <f>H24+H25</f>
        <v>977677.5345074987</v>
      </c>
      <c r="I23" s="416">
        <f>I24+I25</f>
        <v>1047623.5183587687</v>
      </c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2"/>
      <c r="BK23" s="442"/>
      <c r="BL23" s="442"/>
      <c r="BM23" s="442"/>
      <c r="BN23" s="442"/>
      <c r="BO23" s="442"/>
      <c r="BP23" s="442"/>
      <c r="BQ23" s="442"/>
      <c r="BR23" s="442"/>
      <c r="BS23" s="442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2"/>
      <c r="DA23" s="442"/>
      <c r="DB23" s="442"/>
      <c r="DC23" s="442"/>
      <c r="DD23" s="442"/>
      <c r="DE23" s="442"/>
      <c r="DF23" s="442"/>
      <c r="DG23" s="442"/>
      <c r="DH23" s="442"/>
      <c r="DI23" s="442"/>
      <c r="DJ23" s="442"/>
      <c r="DK23" s="442"/>
      <c r="DL23" s="442"/>
      <c r="DM23" s="442"/>
      <c r="DN23" s="442"/>
      <c r="DO23" s="442"/>
      <c r="DP23" s="442"/>
      <c r="DQ23" s="442"/>
      <c r="DR23" s="442"/>
      <c r="DS23" s="442"/>
      <c r="DT23" s="442"/>
      <c r="DU23" s="442"/>
      <c r="DV23" s="442"/>
      <c r="DW23" s="442"/>
      <c r="DX23" s="442"/>
      <c r="DY23" s="442"/>
      <c r="DZ23" s="442"/>
      <c r="EA23" s="442"/>
      <c r="EB23" s="442"/>
      <c r="EC23" s="442"/>
      <c r="ED23" s="442"/>
      <c r="EE23" s="442"/>
      <c r="EF23" s="442"/>
      <c r="EG23" s="442"/>
      <c r="EH23" s="442"/>
      <c r="EI23" s="442"/>
      <c r="EJ23" s="442"/>
      <c r="EK23" s="442"/>
      <c r="EL23" s="442"/>
      <c r="EM23" s="442"/>
      <c r="EN23" s="442"/>
      <c r="EO23" s="442"/>
      <c r="EP23" s="442"/>
      <c r="EQ23" s="442"/>
      <c r="ER23" s="442"/>
      <c r="ES23" s="442"/>
      <c r="ET23" s="442"/>
      <c r="EU23" s="442"/>
      <c r="EV23" s="442"/>
      <c r="EW23" s="442"/>
      <c r="EX23" s="442"/>
      <c r="EY23" s="442"/>
      <c r="EZ23" s="442"/>
      <c r="FA23" s="442"/>
      <c r="FB23" s="442"/>
    </row>
    <row r="24" spans="1:158" s="25" customFormat="1" ht="20.25">
      <c r="A24" s="417" t="s">
        <v>66</v>
      </c>
      <c r="B24" s="418" t="s">
        <v>225</v>
      </c>
      <c r="C24" s="415">
        <f>Plano!C18</f>
        <v>251486.71</v>
      </c>
      <c r="D24" s="415">
        <f>Plano!D18</f>
        <v>746749.45</v>
      </c>
      <c r="E24" s="415">
        <f>Plano!E18</f>
        <v>784281</v>
      </c>
      <c r="F24" s="415">
        <f>Plano!F18</f>
        <v>839271</v>
      </c>
      <c r="G24" s="416">
        <f>F24*(1+Parâmetros!E11)*(1+Parâmetros!E12)</f>
        <v>911956.904226</v>
      </c>
      <c r="H24" s="416">
        <f>G24*(1+Parâmetros!F11)*(1+Parâmetros!F12)</f>
        <v>977677.5345074987</v>
      </c>
      <c r="I24" s="416">
        <f>H24*(1+Parâmetros!G11)*(1+Parâmetros!G12)</f>
        <v>1047623.5183587687</v>
      </c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2"/>
      <c r="AL24" s="442"/>
      <c r="AM24" s="442"/>
      <c r="AN24" s="442"/>
      <c r="AO24" s="442"/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2"/>
      <c r="BH24" s="442"/>
      <c r="BI24" s="442"/>
      <c r="BJ24" s="442"/>
      <c r="BK24" s="442"/>
      <c r="BL24" s="442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2"/>
      <c r="DA24" s="442"/>
      <c r="DB24" s="442"/>
      <c r="DC24" s="442"/>
      <c r="DD24" s="442"/>
      <c r="DE24" s="442"/>
      <c r="DF24" s="442"/>
      <c r="DG24" s="442"/>
      <c r="DH24" s="442"/>
      <c r="DI24" s="442"/>
      <c r="DJ24" s="442"/>
      <c r="DK24" s="442"/>
      <c r="DL24" s="442"/>
      <c r="DM24" s="442"/>
      <c r="DN24" s="442"/>
      <c r="DO24" s="442"/>
      <c r="DP24" s="442"/>
      <c r="DQ24" s="442"/>
      <c r="DR24" s="442"/>
      <c r="DS24" s="442"/>
      <c r="DT24" s="442"/>
      <c r="DU24" s="442"/>
      <c r="DV24" s="442"/>
      <c r="DW24" s="442"/>
      <c r="DX24" s="442"/>
      <c r="DY24" s="442"/>
      <c r="DZ24" s="442"/>
      <c r="EA24" s="442"/>
      <c r="EB24" s="442"/>
      <c r="EC24" s="442"/>
      <c r="ED24" s="442"/>
      <c r="EE24" s="442"/>
      <c r="EF24" s="442"/>
      <c r="EG24" s="442"/>
      <c r="EH24" s="442"/>
      <c r="EI24" s="442"/>
      <c r="EJ24" s="442"/>
      <c r="EK24" s="442"/>
      <c r="EL24" s="442"/>
      <c r="EM24" s="442"/>
      <c r="EN24" s="442"/>
      <c r="EO24" s="442"/>
      <c r="EP24" s="442"/>
      <c r="EQ24" s="442"/>
      <c r="ER24" s="442"/>
      <c r="ES24" s="442"/>
      <c r="ET24" s="442"/>
      <c r="EU24" s="442"/>
      <c r="EV24" s="442"/>
      <c r="EW24" s="442"/>
      <c r="EX24" s="442"/>
      <c r="EY24" s="442"/>
      <c r="EZ24" s="442"/>
      <c r="FA24" s="442"/>
      <c r="FB24" s="442"/>
    </row>
    <row r="25" spans="1:158" s="25" customFormat="1" ht="20.25">
      <c r="A25" s="417" t="s">
        <v>66</v>
      </c>
      <c r="B25" s="419" t="s">
        <v>374</v>
      </c>
      <c r="C25" s="415">
        <f>Plano!C19</f>
        <v>0</v>
      </c>
      <c r="D25" s="415">
        <f>Plano!D19</f>
        <v>0</v>
      </c>
      <c r="E25" s="415">
        <f>Plano!E19</f>
        <v>0</v>
      </c>
      <c r="F25" s="415">
        <f>Plano!F19</f>
        <v>0</v>
      </c>
      <c r="G25" s="416">
        <f>F25*(1+Parâmetros!E11)*(1+Parâmetros!E12)</f>
        <v>0</v>
      </c>
      <c r="H25" s="416">
        <f>G25*(1+Parâmetros!F11)*(1+Parâmetros!F12)</f>
        <v>0</v>
      </c>
      <c r="I25" s="416">
        <f>H25*(1+Parâmetros!G11)*(1+Parâmetros!G12)</f>
        <v>0</v>
      </c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2"/>
      <c r="BI25" s="442"/>
      <c r="BJ25" s="442"/>
      <c r="BK25" s="442"/>
      <c r="BL25" s="442"/>
      <c r="BM25" s="442"/>
      <c r="BN25" s="442"/>
      <c r="BO25" s="442"/>
      <c r="BP25" s="442"/>
      <c r="BQ25" s="442"/>
      <c r="BR25" s="442"/>
      <c r="BS25" s="442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  <c r="CD25" s="442"/>
      <c r="CE25" s="442"/>
      <c r="CF25" s="442"/>
      <c r="CG25" s="442"/>
      <c r="CH25" s="442"/>
      <c r="CI25" s="442"/>
      <c r="CJ25" s="442"/>
      <c r="CK25" s="442"/>
      <c r="CL25" s="442"/>
      <c r="CM25" s="442"/>
      <c r="CN25" s="442"/>
      <c r="CO25" s="442"/>
      <c r="CP25" s="442"/>
      <c r="CQ25" s="442"/>
      <c r="CR25" s="442"/>
      <c r="CS25" s="442"/>
      <c r="CT25" s="442"/>
      <c r="CU25" s="442"/>
      <c r="CV25" s="442"/>
      <c r="CW25" s="442"/>
      <c r="CX25" s="442"/>
      <c r="CY25" s="442"/>
      <c r="CZ25" s="442"/>
      <c r="DA25" s="442"/>
      <c r="DB25" s="442"/>
      <c r="DC25" s="442"/>
      <c r="DD25" s="442"/>
      <c r="DE25" s="442"/>
      <c r="DF25" s="442"/>
      <c r="DG25" s="442"/>
      <c r="DH25" s="442"/>
      <c r="DI25" s="442"/>
      <c r="DJ25" s="442"/>
      <c r="DK25" s="442"/>
      <c r="DL25" s="442"/>
      <c r="DM25" s="442"/>
      <c r="DN25" s="442"/>
      <c r="DO25" s="442"/>
      <c r="DP25" s="442"/>
      <c r="DQ25" s="442"/>
      <c r="DR25" s="442"/>
      <c r="DS25" s="442"/>
      <c r="DT25" s="442"/>
      <c r="DU25" s="442"/>
      <c r="DV25" s="442"/>
      <c r="DW25" s="442"/>
      <c r="DX25" s="442"/>
      <c r="DY25" s="442"/>
      <c r="DZ25" s="442"/>
      <c r="EA25" s="442"/>
      <c r="EB25" s="442"/>
      <c r="EC25" s="442"/>
      <c r="ED25" s="442"/>
      <c r="EE25" s="442"/>
      <c r="EF25" s="442"/>
      <c r="EG25" s="442"/>
      <c r="EH25" s="442"/>
      <c r="EI25" s="442"/>
      <c r="EJ25" s="442"/>
      <c r="EK25" s="442"/>
      <c r="EL25" s="442"/>
      <c r="EM25" s="442"/>
      <c r="EN25" s="442"/>
      <c r="EO25" s="442"/>
      <c r="EP25" s="442"/>
      <c r="EQ25" s="442"/>
      <c r="ER25" s="442"/>
      <c r="ES25" s="442"/>
      <c r="ET25" s="442"/>
      <c r="EU25" s="442"/>
      <c r="EV25" s="442"/>
      <c r="EW25" s="442"/>
      <c r="EX25" s="442"/>
      <c r="EY25" s="442"/>
      <c r="EZ25" s="442"/>
      <c r="FA25" s="442"/>
      <c r="FB25" s="442"/>
    </row>
    <row r="26" spans="1:158" s="25" customFormat="1" ht="20.25">
      <c r="A26" s="413" t="s">
        <v>67</v>
      </c>
      <c r="B26" s="414" t="s">
        <v>68</v>
      </c>
      <c r="C26" s="415">
        <f>Plano!C20</f>
        <v>11116.31</v>
      </c>
      <c r="D26" s="415">
        <f>Plano!D20</f>
        <v>316214.2</v>
      </c>
      <c r="E26" s="415">
        <f>Plano!E20</f>
        <v>140000</v>
      </c>
      <c r="F26" s="415">
        <f>Plano!F20</f>
        <v>10700</v>
      </c>
      <c r="G26" s="415">
        <f>G27+G28+G29+G30+G31</f>
        <v>11626.6842</v>
      </c>
      <c r="H26" s="415">
        <f>H27+H28+H29+H30+H31</f>
        <v>12464.567010215098</v>
      </c>
      <c r="I26" s="415">
        <f>I27+I28+I29+I30+I31</f>
        <v>13356.319527826918</v>
      </c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2"/>
      <c r="BC26" s="442"/>
      <c r="BD26" s="442"/>
      <c r="BE26" s="442"/>
      <c r="BF26" s="442"/>
      <c r="BG26" s="442"/>
      <c r="BH26" s="442"/>
      <c r="BI26" s="442"/>
      <c r="BJ26" s="442"/>
      <c r="BK26" s="442"/>
      <c r="BL26" s="442"/>
      <c r="BM26" s="442"/>
      <c r="BN26" s="442"/>
      <c r="BO26" s="442"/>
      <c r="BP26" s="442"/>
      <c r="BQ26" s="442"/>
      <c r="BR26" s="442"/>
      <c r="BS26" s="442"/>
      <c r="BT26" s="442"/>
      <c r="BU26" s="442"/>
      <c r="BV26" s="442"/>
      <c r="BW26" s="442"/>
      <c r="BX26" s="442"/>
      <c r="BY26" s="442"/>
      <c r="BZ26" s="442"/>
      <c r="CA26" s="442"/>
      <c r="CB26" s="442"/>
      <c r="CC26" s="442"/>
      <c r="CD26" s="442"/>
      <c r="CE26" s="442"/>
      <c r="CF26" s="442"/>
      <c r="CG26" s="442"/>
      <c r="CH26" s="442"/>
      <c r="CI26" s="442"/>
      <c r="CJ26" s="442"/>
      <c r="CK26" s="442"/>
      <c r="CL26" s="442"/>
      <c r="CM26" s="442"/>
      <c r="CN26" s="442"/>
      <c r="CO26" s="442"/>
      <c r="CP26" s="442"/>
      <c r="CQ26" s="442"/>
      <c r="CR26" s="442"/>
      <c r="CS26" s="442"/>
      <c r="CT26" s="442"/>
      <c r="CU26" s="442"/>
      <c r="CV26" s="442"/>
      <c r="CW26" s="442"/>
      <c r="CX26" s="442"/>
      <c r="CY26" s="442"/>
      <c r="CZ26" s="442"/>
      <c r="DA26" s="442"/>
      <c r="DB26" s="442"/>
      <c r="DC26" s="442"/>
      <c r="DD26" s="442"/>
      <c r="DE26" s="442"/>
      <c r="DF26" s="442"/>
      <c r="DG26" s="442"/>
      <c r="DH26" s="442"/>
      <c r="DI26" s="442"/>
      <c r="DJ26" s="442"/>
      <c r="DK26" s="442"/>
      <c r="DL26" s="442"/>
      <c r="DM26" s="442"/>
      <c r="DN26" s="442"/>
      <c r="DO26" s="442"/>
      <c r="DP26" s="442"/>
      <c r="DQ26" s="442"/>
      <c r="DR26" s="442"/>
      <c r="DS26" s="442"/>
      <c r="DT26" s="442"/>
      <c r="DU26" s="442"/>
      <c r="DV26" s="442"/>
      <c r="DW26" s="442"/>
      <c r="DX26" s="442"/>
      <c r="DY26" s="442"/>
      <c r="DZ26" s="442"/>
      <c r="EA26" s="442"/>
      <c r="EB26" s="442"/>
      <c r="EC26" s="442"/>
      <c r="ED26" s="442"/>
      <c r="EE26" s="442"/>
      <c r="EF26" s="442"/>
      <c r="EG26" s="442"/>
      <c r="EH26" s="442"/>
      <c r="EI26" s="442"/>
      <c r="EJ26" s="442"/>
      <c r="EK26" s="442"/>
      <c r="EL26" s="442"/>
      <c r="EM26" s="442"/>
      <c r="EN26" s="442"/>
      <c r="EO26" s="442"/>
      <c r="EP26" s="442"/>
      <c r="EQ26" s="442"/>
      <c r="ER26" s="442"/>
      <c r="ES26" s="442"/>
      <c r="ET26" s="442"/>
      <c r="EU26" s="442"/>
      <c r="EV26" s="442"/>
      <c r="EW26" s="442"/>
      <c r="EX26" s="442"/>
      <c r="EY26" s="442"/>
      <c r="EZ26" s="442"/>
      <c r="FA26" s="442"/>
      <c r="FB26" s="442"/>
    </row>
    <row r="27" spans="1:158" s="25" customFormat="1" ht="20.25">
      <c r="A27" s="413" t="s">
        <v>69</v>
      </c>
      <c r="B27" s="414" t="s">
        <v>70</v>
      </c>
      <c r="C27" s="415">
        <f>Plano!C21</f>
        <v>0</v>
      </c>
      <c r="D27" s="415">
        <f>Plano!D21</f>
        <v>307199.7</v>
      </c>
      <c r="E27" s="415">
        <f>Plano!E21</f>
        <v>130000</v>
      </c>
      <c r="F27" s="415">
        <f>Plano!F21</f>
        <v>0</v>
      </c>
      <c r="G27" s="416">
        <f>Dívida!E17</f>
        <v>0</v>
      </c>
      <c r="H27" s="416">
        <f>Dívida!F17</f>
        <v>0</v>
      </c>
      <c r="I27" s="416">
        <f>Dívida!G17</f>
        <v>0</v>
      </c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42"/>
      <c r="CR27" s="442"/>
      <c r="CS27" s="442"/>
      <c r="CT27" s="442"/>
      <c r="CU27" s="442"/>
      <c r="CV27" s="442"/>
      <c r="CW27" s="442"/>
      <c r="CX27" s="442"/>
      <c r="CY27" s="442"/>
      <c r="CZ27" s="442"/>
      <c r="DA27" s="442"/>
      <c r="DB27" s="442"/>
      <c r="DC27" s="442"/>
      <c r="DD27" s="442"/>
      <c r="DE27" s="442"/>
      <c r="DF27" s="442"/>
      <c r="DG27" s="442"/>
      <c r="DH27" s="442"/>
      <c r="DI27" s="442"/>
      <c r="DJ27" s="442"/>
      <c r="DK27" s="442"/>
      <c r="DL27" s="442"/>
      <c r="DM27" s="442"/>
      <c r="DN27" s="442"/>
      <c r="DO27" s="442"/>
      <c r="DP27" s="442"/>
      <c r="DQ27" s="442"/>
      <c r="DR27" s="442"/>
      <c r="DS27" s="442"/>
      <c r="DT27" s="442"/>
      <c r="DU27" s="442"/>
      <c r="DV27" s="442"/>
      <c r="DW27" s="442"/>
      <c r="DX27" s="442"/>
      <c r="DY27" s="442"/>
      <c r="DZ27" s="442"/>
      <c r="EA27" s="442"/>
      <c r="EB27" s="442"/>
      <c r="EC27" s="442"/>
      <c r="ED27" s="442"/>
      <c r="EE27" s="442"/>
      <c r="EF27" s="442"/>
      <c r="EG27" s="442"/>
      <c r="EH27" s="442"/>
      <c r="EI27" s="442"/>
      <c r="EJ27" s="442"/>
      <c r="EK27" s="442"/>
      <c r="EL27" s="442"/>
      <c r="EM27" s="442"/>
      <c r="EN27" s="442"/>
      <c r="EO27" s="442"/>
      <c r="EP27" s="442"/>
      <c r="EQ27" s="442"/>
      <c r="ER27" s="442"/>
      <c r="ES27" s="442"/>
      <c r="ET27" s="442"/>
      <c r="EU27" s="442"/>
      <c r="EV27" s="442"/>
      <c r="EW27" s="442"/>
      <c r="EX27" s="442"/>
      <c r="EY27" s="442"/>
      <c r="EZ27" s="442"/>
      <c r="FA27" s="442"/>
      <c r="FB27" s="442"/>
    </row>
    <row r="28" spans="1:158" s="25" customFormat="1" ht="20.25">
      <c r="A28" s="413" t="s">
        <v>71</v>
      </c>
      <c r="B28" s="414" t="s">
        <v>72</v>
      </c>
      <c r="C28" s="415">
        <f>Plano!C22</f>
        <v>11116.31</v>
      </c>
      <c r="D28" s="415">
        <f>Plano!D22</f>
        <v>9014.5</v>
      </c>
      <c r="E28" s="415">
        <f>Plano!E22</f>
        <v>10000</v>
      </c>
      <c r="F28" s="415">
        <f>Plano!F22</f>
        <v>10700</v>
      </c>
      <c r="G28" s="416">
        <f>F28*(1+Parâmetros!E11)*(1+Parâmetros!E12)</f>
        <v>11626.6842</v>
      </c>
      <c r="H28" s="416">
        <f>G28*(1+Parâmetros!F11)*(1+Parâmetros!F12)</f>
        <v>12464.567010215098</v>
      </c>
      <c r="I28" s="416">
        <f>H28*(1+Parâmetros!G11)*(1+Parâmetros!G12)</f>
        <v>13356.319527826918</v>
      </c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2"/>
      <c r="CU28" s="442"/>
      <c r="CV28" s="442"/>
      <c r="CW28" s="442"/>
      <c r="CX28" s="442"/>
      <c r="CY28" s="442"/>
      <c r="CZ28" s="442"/>
      <c r="DA28" s="442"/>
      <c r="DB28" s="442"/>
      <c r="DC28" s="442"/>
      <c r="DD28" s="442"/>
      <c r="DE28" s="442"/>
      <c r="DF28" s="442"/>
      <c r="DG28" s="442"/>
      <c r="DH28" s="442"/>
      <c r="DI28" s="442"/>
      <c r="DJ28" s="442"/>
      <c r="DK28" s="442"/>
      <c r="DL28" s="442"/>
      <c r="DM28" s="442"/>
      <c r="DN28" s="442"/>
      <c r="DO28" s="442"/>
      <c r="DP28" s="442"/>
      <c r="DQ28" s="442"/>
      <c r="DR28" s="442"/>
      <c r="DS28" s="442"/>
      <c r="DT28" s="442"/>
      <c r="DU28" s="442"/>
      <c r="DV28" s="442"/>
      <c r="DW28" s="442"/>
      <c r="DX28" s="442"/>
      <c r="DY28" s="442"/>
      <c r="DZ28" s="442"/>
      <c r="EA28" s="442"/>
      <c r="EB28" s="442"/>
      <c r="EC28" s="442"/>
      <c r="ED28" s="442"/>
      <c r="EE28" s="442"/>
      <c r="EF28" s="442"/>
      <c r="EG28" s="442"/>
      <c r="EH28" s="442"/>
      <c r="EI28" s="442"/>
      <c r="EJ28" s="442"/>
      <c r="EK28" s="442"/>
      <c r="EL28" s="442"/>
      <c r="EM28" s="442"/>
      <c r="EN28" s="442"/>
      <c r="EO28" s="442"/>
      <c r="EP28" s="442"/>
      <c r="EQ28" s="442"/>
      <c r="ER28" s="442"/>
      <c r="ES28" s="442"/>
      <c r="ET28" s="442"/>
      <c r="EU28" s="442"/>
      <c r="EV28" s="442"/>
      <c r="EW28" s="442"/>
      <c r="EX28" s="442"/>
      <c r="EY28" s="442"/>
      <c r="EZ28" s="442"/>
      <c r="FA28" s="442"/>
      <c r="FB28" s="442"/>
    </row>
    <row r="29" spans="1:158" ht="20.25">
      <c r="A29" s="413" t="s">
        <v>73</v>
      </c>
      <c r="B29" s="414" t="s">
        <v>74</v>
      </c>
      <c r="C29" s="415">
        <f>Plano!C23</f>
        <v>0</v>
      </c>
      <c r="D29" s="415">
        <f>Plano!D23</f>
        <v>0</v>
      </c>
      <c r="E29" s="415">
        <f>Plano!E23</f>
        <v>0</v>
      </c>
      <c r="F29" s="415">
        <f>Plano!F23</f>
        <v>0</v>
      </c>
      <c r="G29" s="416">
        <f>F29*(1+Parâmetros!E11)*(1+Parâmetros!E12)</f>
        <v>0</v>
      </c>
      <c r="H29" s="416">
        <f>G29*(1+Parâmetros!F11)*(1+Parâmetros!F12)</f>
        <v>0</v>
      </c>
      <c r="I29" s="416">
        <f>H29*(1+Parâmetros!G11)*(1+Parâmetros!G12)</f>
        <v>0</v>
      </c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  <c r="CV29" s="441"/>
      <c r="CW29" s="441"/>
      <c r="CX29" s="441"/>
      <c r="CY29" s="441"/>
      <c r="CZ29" s="441"/>
      <c r="DA29" s="441"/>
      <c r="DB29" s="441"/>
      <c r="DC29" s="441"/>
      <c r="DD29" s="441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1"/>
      <c r="DX29" s="441"/>
      <c r="DY29" s="441"/>
      <c r="DZ29" s="441"/>
      <c r="EA29" s="441"/>
      <c r="EB29" s="441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41"/>
      <c r="ER29" s="441"/>
      <c r="ES29" s="441"/>
      <c r="ET29" s="441"/>
      <c r="EU29" s="441"/>
      <c r="EV29" s="441"/>
      <c r="EW29" s="441"/>
      <c r="EX29" s="441"/>
      <c r="EY29" s="441"/>
      <c r="EZ29" s="441"/>
      <c r="FA29" s="441"/>
      <c r="FB29" s="441"/>
    </row>
    <row r="30" spans="1:158" s="25" customFormat="1" ht="20.25">
      <c r="A30" s="413" t="s">
        <v>75</v>
      </c>
      <c r="B30" s="414" t="s">
        <v>76</v>
      </c>
      <c r="C30" s="415">
        <f>Plano!C24</f>
        <v>0</v>
      </c>
      <c r="D30" s="415">
        <f>Plano!D24</f>
        <v>0</v>
      </c>
      <c r="E30" s="415">
        <f>Plano!E24</f>
        <v>0</v>
      </c>
      <c r="F30" s="415">
        <f>Plano!F24</f>
        <v>0</v>
      </c>
      <c r="G30" s="416">
        <f>F30*(1+Parâmetros!E11)*(1+Parâmetros!E12)</f>
        <v>0</v>
      </c>
      <c r="H30" s="416">
        <f>G30*(1+Parâmetros!F11)*(1+Parâmetros!F12)</f>
        <v>0</v>
      </c>
      <c r="I30" s="416">
        <f>H30*(1+Parâmetros!G11)*(1+Parâmetros!G12)</f>
        <v>0</v>
      </c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2"/>
      <c r="BK30" s="442"/>
      <c r="BL30" s="442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442"/>
      <c r="CN30" s="442"/>
      <c r="CO30" s="442"/>
      <c r="CP30" s="442"/>
      <c r="CQ30" s="442"/>
      <c r="CR30" s="442"/>
      <c r="CS30" s="442"/>
      <c r="CT30" s="442"/>
      <c r="CU30" s="442"/>
      <c r="CV30" s="442"/>
      <c r="CW30" s="442"/>
      <c r="CX30" s="442"/>
      <c r="CY30" s="442"/>
      <c r="CZ30" s="442"/>
      <c r="DA30" s="442"/>
      <c r="DB30" s="442"/>
      <c r="DC30" s="442"/>
      <c r="DD30" s="442"/>
      <c r="DE30" s="442"/>
      <c r="DF30" s="442"/>
      <c r="DG30" s="442"/>
      <c r="DH30" s="442"/>
      <c r="DI30" s="442"/>
      <c r="DJ30" s="44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442"/>
      <c r="DV30" s="442"/>
      <c r="DW30" s="442"/>
      <c r="DX30" s="442"/>
      <c r="DY30" s="442"/>
      <c r="DZ30" s="442"/>
      <c r="EA30" s="442"/>
      <c r="EB30" s="442"/>
      <c r="EC30" s="442"/>
      <c r="ED30" s="442"/>
      <c r="EE30" s="442"/>
      <c r="EF30" s="442"/>
      <c r="EG30" s="442"/>
      <c r="EH30" s="442"/>
      <c r="EI30" s="442"/>
      <c r="EJ30" s="442"/>
      <c r="EK30" s="442"/>
      <c r="EL30" s="442"/>
      <c r="EM30" s="442"/>
      <c r="EN30" s="442"/>
      <c r="EO30" s="442"/>
      <c r="EP30" s="442"/>
      <c r="EQ30" s="442"/>
      <c r="ER30" s="442"/>
      <c r="ES30" s="442"/>
      <c r="ET30" s="442"/>
      <c r="EU30" s="442"/>
      <c r="EV30" s="442"/>
      <c r="EW30" s="442"/>
      <c r="EX30" s="442"/>
      <c r="EY30" s="442"/>
      <c r="EZ30" s="442"/>
      <c r="FA30" s="442"/>
      <c r="FB30" s="442"/>
    </row>
    <row r="31" spans="1:158" ht="20.25">
      <c r="A31" s="413" t="s">
        <v>77</v>
      </c>
      <c r="B31" s="414" t="s">
        <v>6</v>
      </c>
      <c r="C31" s="415">
        <f>Plano!C25</f>
        <v>0</v>
      </c>
      <c r="D31" s="415">
        <f>Plano!D25</f>
        <v>0</v>
      </c>
      <c r="E31" s="415">
        <f>Plano!E25</f>
        <v>0</v>
      </c>
      <c r="F31" s="415">
        <f>Plano!F25</f>
        <v>0</v>
      </c>
      <c r="G31" s="416">
        <f>F31*(1+Parâmetros!E11)*(1+Parâmetros!E12)</f>
        <v>0</v>
      </c>
      <c r="H31" s="416">
        <f>G31*(1+Parâmetros!F11)*(1+Parâmetros!F12)</f>
        <v>0</v>
      </c>
      <c r="I31" s="416">
        <f>H31*(1+Parâmetros!G11)*(1+Parâmetros!G12)</f>
        <v>0</v>
      </c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  <c r="BM31" s="441"/>
      <c r="BN31" s="441"/>
      <c r="BO31" s="441"/>
      <c r="BP31" s="441"/>
      <c r="BQ31" s="441"/>
      <c r="BR31" s="441"/>
      <c r="BS31" s="441"/>
      <c r="BT31" s="441"/>
      <c r="BU31" s="441"/>
      <c r="BV31" s="441"/>
      <c r="BW31" s="441"/>
      <c r="BX31" s="441"/>
      <c r="BY31" s="441"/>
      <c r="BZ31" s="441"/>
      <c r="CA31" s="441"/>
      <c r="CB31" s="441"/>
      <c r="CC31" s="441"/>
      <c r="CD31" s="441"/>
      <c r="CE31" s="441"/>
      <c r="CF31" s="441"/>
      <c r="CG31" s="441"/>
      <c r="CH31" s="441"/>
      <c r="CI31" s="441"/>
      <c r="CJ31" s="441"/>
      <c r="CK31" s="441"/>
      <c r="CL31" s="441"/>
      <c r="CM31" s="441"/>
      <c r="CN31" s="441"/>
      <c r="CO31" s="441"/>
      <c r="CP31" s="441"/>
      <c r="CQ31" s="441"/>
      <c r="CR31" s="441"/>
      <c r="CS31" s="441"/>
      <c r="CT31" s="441"/>
      <c r="CU31" s="441"/>
      <c r="CV31" s="441"/>
      <c r="CW31" s="441"/>
      <c r="CX31" s="441"/>
      <c r="CY31" s="441"/>
      <c r="CZ31" s="441"/>
      <c r="DA31" s="441"/>
      <c r="DB31" s="441"/>
      <c r="DC31" s="441"/>
      <c r="DD31" s="441"/>
      <c r="DE31" s="441"/>
      <c r="DF31" s="441"/>
      <c r="DG31" s="441"/>
      <c r="DH31" s="441"/>
      <c r="DI31" s="441"/>
      <c r="DJ31" s="441"/>
      <c r="DK31" s="441"/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1"/>
      <c r="DX31" s="441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1"/>
      <c r="ER31" s="441"/>
      <c r="ES31" s="441"/>
      <c r="ET31" s="441"/>
      <c r="EU31" s="441"/>
      <c r="EV31" s="441"/>
      <c r="EW31" s="441"/>
      <c r="EX31" s="441"/>
      <c r="EY31" s="441"/>
      <c r="EZ31" s="441"/>
      <c r="FA31" s="441"/>
      <c r="FB31" s="441"/>
    </row>
    <row r="32" spans="1:9" ht="20.25">
      <c r="A32" s="417" t="s">
        <v>226</v>
      </c>
      <c r="B32" s="419" t="s">
        <v>375</v>
      </c>
      <c r="C32" s="415">
        <f>Plano!C26</f>
        <v>0</v>
      </c>
      <c r="D32" s="415">
        <f>Plano!D26</f>
        <v>0</v>
      </c>
      <c r="E32" s="415">
        <f>Plano!E26</f>
        <v>0</v>
      </c>
      <c r="F32" s="415">
        <f>Plano!F26</f>
        <v>0</v>
      </c>
      <c r="G32" s="416">
        <f>F32*(1+Parâmetros!E11)*(1+Parâmetros!E17)</f>
        <v>0</v>
      </c>
      <c r="H32" s="416">
        <f>G32*(1+Parâmetros!F11)*(1+Parâmetros!F17)</f>
        <v>0</v>
      </c>
      <c r="I32" s="416">
        <f>H32*(1+Parâmetros!G11)*(1+Parâmetros!G17)</f>
        <v>0</v>
      </c>
    </row>
    <row r="33" spans="1:9" ht="20.25">
      <c r="A33" s="413" t="s">
        <v>293</v>
      </c>
      <c r="B33" s="414" t="s">
        <v>189</v>
      </c>
      <c r="C33" s="415">
        <f>Plano!C27</f>
        <v>-2517287.54</v>
      </c>
      <c r="D33" s="415">
        <f>Plano!D27</f>
        <v>-2639597.16</v>
      </c>
      <c r="E33" s="415">
        <f>Plano!E27</f>
        <v>-2708214.36</v>
      </c>
      <c r="F33" s="415">
        <f>Plano!F27</f>
        <v>-3129948</v>
      </c>
      <c r="G33" s="416">
        <f>F33*(1+Parâmetros!E11)*(1+Parâmetros!E12)</f>
        <v>-3401020.276488</v>
      </c>
      <c r="H33" s="416">
        <f>G33*(1+Parâmetros!F11)*(1+Parâmetros!F12)</f>
        <v>-3646116.503223246</v>
      </c>
      <c r="I33" s="416">
        <f>H33*(1+Parâmetros!G11)*(1+Parâmetros!G12)</f>
        <v>-3906970.616213347</v>
      </c>
    </row>
    <row r="34" spans="1:84" ht="20.25">
      <c r="A34" s="417"/>
      <c r="B34" s="418"/>
      <c r="C34" s="415">
        <f>Plano!C28</f>
        <v>0</v>
      </c>
      <c r="D34" s="415">
        <f>Plano!D28</f>
        <v>0</v>
      </c>
      <c r="E34" s="415">
        <f>Plano!E28</f>
        <v>0</v>
      </c>
      <c r="F34" s="415">
        <f>Plano!F28</f>
        <v>0</v>
      </c>
      <c r="G34" s="416"/>
      <c r="H34" s="416"/>
      <c r="I34" s="416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1"/>
      <c r="BV34" s="441"/>
      <c r="BW34" s="441"/>
      <c r="BX34" s="441"/>
      <c r="BY34" s="441"/>
      <c r="BZ34" s="441"/>
      <c r="CA34" s="441"/>
      <c r="CB34" s="441"/>
      <c r="CC34" s="441"/>
      <c r="CD34" s="441"/>
      <c r="CE34" s="441"/>
      <c r="CF34" s="441"/>
    </row>
    <row r="35" spans="1:84" s="26" customFormat="1" ht="20.25">
      <c r="A35" s="421"/>
      <c r="B35" s="422" t="s">
        <v>78</v>
      </c>
      <c r="C35" s="415">
        <f>Plano!C29</f>
        <v>16424067.620000001</v>
      </c>
      <c r="D35" s="415">
        <f>Plano!D29</f>
        <v>17691844</v>
      </c>
      <c r="E35" s="415">
        <f>Plano!E29</f>
        <v>18379189.43</v>
      </c>
      <c r="F35" s="415">
        <f>Plano!F29</f>
        <v>19466388</v>
      </c>
      <c r="G35" s="415">
        <f>G9+G26+G32+G33</f>
        <v>21092039.39720701</v>
      </c>
      <c r="H35" s="415">
        <f>H9+H26+H32+H33</f>
        <v>22846765.866690964</v>
      </c>
      <c r="I35" s="415">
        <f>I9+I26+I32+I33</f>
        <v>24680234.17415839</v>
      </c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</row>
    <row r="36" spans="1:84" ht="20.25">
      <c r="A36" s="423"/>
      <c r="B36" s="423"/>
      <c r="C36" s="424"/>
      <c r="D36" s="424"/>
      <c r="E36" s="424"/>
      <c r="F36" s="424"/>
      <c r="G36" s="424"/>
      <c r="H36" s="424"/>
      <c r="I36" s="424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</row>
    <row r="37" spans="1:84" ht="21" thickBot="1">
      <c r="A37" s="423"/>
      <c r="B37" s="423"/>
      <c r="C37" s="424"/>
      <c r="D37" s="424"/>
      <c r="E37" s="424"/>
      <c r="F37" s="424"/>
      <c r="G37" s="424"/>
      <c r="H37" s="424"/>
      <c r="I37" s="424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</row>
    <row r="38" spans="1:84" s="1" customFormat="1" ht="21" thickTop="1">
      <c r="A38" s="427" t="s">
        <v>0</v>
      </c>
      <c r="B38" s="410" t="s">
        <v>1</v>
      </c>
      <c r="C38" s="428" t="s">
        <v>198</v>
      </c>
      <c r="D38" s="428" t="s">
        <v>198</v>
      </c>
      <c r="E38" s="428" t="s">
        <v>198</v>
      </c>
      <c r="F38" s="428" t="s">
        <v>197</v>
      </c>
      <c r="G38" s="428" t="s">
        <v>18</v>
      </c>
      <c r="H38" s="428" t="s">
        <v>18</v>
      </c>
      <c r="I38" s="428" t="s">
        <v>18</v>
      </c>
      <c r="J38" s="20" t="s">
        <v>18</v>
      </c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4"/>
      <c r="BG38" s="444"/>
      <c r="BH38" s="444"/>
      <c r="BI38" s="444"/>
      <c r="BJ38" s="444"/>
      <c r="BK38" s="444"/>
      <c r="BL38" s="444"/>
      <c r="BM38" s="444"/>
      <c r="BN38" s="444"/>
      <c r="BO38" s="444"/>
      <c r="BP38" s="444"/>
      <c r="BQ38" s="444"/>
      <c r="BR38" s="444"/>
      <c r="BS38" s="444"/>
      <c r="BT38" s="444"/>
      <c r="BU38" s="444"/>
      <c r="BV38" s="444"/>
      <c r="BW38" s="444"/>
      <c r="BX38" s="444"/>
      <c r="BY38" s="444"/>
      <c r="BZ38" s="444"/>
      <c r="CA38" s="444"/>
      <c r="CB38" s="444"/>
      <c r="CC38" s="444"/>
      <c r="CD38" s="444"/>
      <c r="CE38" s="444"/>
      <c r="CF38" s="444"/>
    </row>
    <row r="39" spans="1:84" s="1" customFormat="1" ht="20.25">
      <c r="A39" s="429"/>
      <c r="B39" s="411" t="s">
        <v>14</v>
      </c>
      <c r="C39" s="412">
        <v>2014</v>
      </c>
      <c r="D39" s="412">
        <f aca="true" t="shared" si="1" ref="D39:I39">C39+1</f>
        <v>2015</v>
      </c>
      <c r="E39" s="412">
        <f t="shared" si="1"/>
        <v>2016</v>
      </c>
      <c r="F39" s="412">
        <f t="shared" si="1"/>
        <v>2017</v>
      </c>
      <c r="G39" s="412">
        <f t="shared" si="1"/>
        <v>2018</v>
      </c>
      <c r="H39" s="412">
        <f t="shared" si="1"/>
        <v>2019</v>
      </c>
      <c r="I39" s="412">
        <f t="shared" si="1"/>
        <v>2020</v>
      </c>
      <c r="J39" s="21">
        <v>2005</v>
      </c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444"/>
      <c r="AZ39" s="444"/>
      <c r="BA39" s="444"/>
      <c r="BB39" s="444"/>
      <c r="BC39" s="444"/>
      <c r="BD39" s="444"/>
      <c r="BE39" s="444"/>
      <c r="BF39" s="444"/>
      <c r="BG39" s="444"/>
      <c r="BH39" s="444"/>
      <c r="BI39" s="444"/>
      <c r="BJ39" s="444"/>
      <c r="BK39" s="444"/>
      <c r="BL39" s="444"/>
      <c r="BM39" s="444"/>
      <c r="BN39" s="444"/>
      <c r="BO39" s="444"/>
      <c r="BP39" s="444"/>
      <c r="BQ39" s="444"/>
      <c r="BR39" s="444"/>
      <c r="BS39" s="444"/>
      <c r="BT39" s="444"/>
      <c r="BU39" s="444"/>
      <c r="BV39" s="444"/>
      <c r="BW39" s="444"/>
      <c r="BX39" s="444"/>
      <c r="BY39" s="444"/>
      <c r="BZ39" s="444"/>
      <c r="CA39" s="444"/>
      <c r="CB39" s="444"/>
      <c r="CC39" s="444"/>
      <c r="CD39" s="444"/>
      <c r="CE39" s="444"/>
      <c r="CF39" s="444"/>
    </row>
    <row r="40" spans="1:84" s="25" customFormat="1" ht="20.25">
      <c r="A40" s="413" t="s">
        <v>79</v>
      </c>
      <c r="B40" s="414" t="s">
        <v>7</v>
      </c>
      <c r="C40" s="415">
        <f>Plano!C33</f>
        <v>14013797.009999998</v>
      </c>
      <c r="D40" s="415">
        <f>Plano!D33</f>
        <v>14784435.29</v>
      </c>
      <c r="E40" s="415">
        <f>Plano!E33</f>
        <v>15615073.75</v>
      </c>
      <c r="F40" s="415">
        <f>Plano!F33</f>
        <v>14710443.53</v>
      </c>
      <c r="G40" s="415">
        <f>(G41+G44+G47)</f>
        <v>15217111.633076597</v>
      </c>
      <c r="H40" s="415">
        <f>H41+H44+H47</f>
        <v>15502479.804900652</v>
      </c>
      <c r="I40" s="415">
        <f>I41+I44+I47</f>
        <v>15547475.59983595</v>
      </c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2"/>
      <c r="BV40" s="442"/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</row>
    <row r="41" spans="1:84" s="25" customFormat="1" ht="20.25">
      <c r="A41" s="413" t="s">
        <v>80</v>
      </c>
      <c r="B41" s="414" t="s">
        <v>81</v>
      </c>
      <c r="C41" s="415">
        <f>Plano!C34</f>
        <v>8521291.62</v>
      </c>
      <c r="D41" s="415">
        <f>Plano!D34</f>
        <v>9009380</v>
      </c>
      <c r="E41" s="415">
        <f>Plano!E34</f>
        <v>9774860.29</v>
      </c>
      <c r="F41" s="415">
        <f>Plano!F34</f>
        <v>8364364.06</v>
      </c>
      <c r="G41" s="416">
        <f>G42+G43</f>
        <v>8221193.625348597</v>
      </c>
      <c r="H41" s="416">
        <f>H42+H43</f>
        <v>7899316.114101861</v>
      </c>
      <c r="I41" s="416">
        <f>I42+I43</f>
        <v>7284357.300675826</v>
      </c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2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2"/>
      <c r="BM41" s="442"/>
      <c r="BN41" s="442"/>
      <c r="BO41" s="442"/>
      <c r="BP41" s="442"/>
      <c r="BQ41" s="442"/>
      <c r="BR41" s="442"/>
      <c r="BS41" s="442"/>
      <c r="BT41" s="442"/>
      <c r="BU41" s="442"/>
      <c r="BV41" s="442"/>
      <c r="BW41" s="442"/>
      <c r="BX41" s="442"/>
      <c r="BY41" s="442"/>
      <c r="BZ41" s="442"/>
      <c r="CA41" s="442"/>
      <c r="CB41" s="442"/>
      <c r="CC41" s="442"/>
      <c r="CD41" s="442"/>
      <c r="CE41" s="442"/>
      <c r="CF41" s="442"/>
    </row>
    <row r="42" spans="1:84" s="25" customFormat="1" ht="20.25">
      <c r="A42" s="417" t="s">
        <v>80</v>
      </c>
      <c r="B42" s="425" t="s">
        <v>227</v>
      </c>
      <c r="C42" s="415">
        <f>Plano!C35</f>
        <v>8521291.62</v>
      </c>
      <c r="D42" s="415">
        <f>Plano!D35</f>
        <v>9009380</v>
      </c>
      <c r="E42" s="415">
        <f>Plano!E35</f>
        <v>9774860.29</v>
      </c>
      <c r="F42" s="415">
        <f>Plano!F35</f>
        <v>8364364.06</v>
      </c>
      <c r="G42" s="416">
        <f>F42*(1+Parâmetros!E11)*(1+Parâmetros!E13)*(1+Parâmetros!E17)</f>
        <v>8221193.625348597</v>
      </c>
      <c r="H42" s="416">
        <f>G42*(1+Parâmetros!F11)*(1+Parâmetros!F13)*(1+Parâmetros!F17)</f>
        <v>7899316.114101861</v>
      </c>
      <c r="I42" s="416">
        <f>H42*(1+Parâmetros!G11)*(1+Parâmetros!G13)*(1+Parâmetros!G17)</f>
        <v>7284357.300675826</v>
      </c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</row>
    <row r="43" spans="1:84" s="25" customFormat="1" ht="20.25">
      <c r="A43" s="417" t="s">
        <v>80</v>
      </c>
      <c r="B43" s="426" t="s">
        <v>381</v>
      </c>
      <c r="C43" s="415">
        <f>Plano!C36</f>
        <v>0</v>
      </c>
      <c r="D43" s="415">
        <f>Plano!D36</f>
        <v>0</v>
      </c>
      <c r="E43" s="415">
        <f>Plano!E36</f>
        <v>0</v>
      </c>
      <c r="F43" s="415">
        <f>Plano!F36</f>
        <v>0</v>
      </c>
      <c r="G43" s="416">
        <f>F43*(1+Parâmetros!E11)*(1+Parâmetros!E13)*(1+Parâmetros!E17)</f>
        <v>0</v>
      </c>
      <c r="H43" s="416">
        <f>G43*(1+Parâmetros!F11)*(1+Parâmetros!F13)*(1+Parâmetros!F17)</f>
        <v>0</v>
      </c>
      <c r="I43" s="416">
        <f>H43*(1+Parâmetros!G11)*(1+Parâmetros!G13)*(1+Parâmetros!G17)</f>
        <v>0</v>
      </c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</row>
    <row r="44" spans="1:84" ht="20.25">
      <c r="A44" s="413" t="s">
        <v>82</v>
      </c>
      <c r="B44" s="414" t="s">
        <v>199</v>
      </c>
      <c r="C44" s="415">
        <f>Plano!C37</f>
        <v>0</v>
      </c>
      <c r="D44" s="415">
        <f>Plano!D37</f>
        <v>0</v>
      </c>
      <c r="E44" s="415">
        <f>Plano!E37</f>
        <v>0</v>
      </c>
      <c r="F44" s="415">
        <f>Plano!F37</f>
        <v>0</v>
      </c>
      <c r="G44" s="416">
        <f>G45+G46</f>
        <v>0</v>
      </c>
      <c r="H44" s="416">
        <f>H45+H46</f>
        <v>0</v>
      </c>
      <c r="I44" s="416">
        <f>I45+I46</f>
        <v>0</v>
      </c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</row>
    <row r="45" spans="1:84" ht="20.25">
      <c r="A45" s="417" t="s">
        <v>82</v>
      </c>
      <c r="B45" s="425" t="s">
        <v>83</v>
      </c>
      <c r="C45" s="415">
        <f>Plano!C38</f>
        <v>0</v>
      </c>
      <c r="D45" s="415">
        <f>Plano!D38</f>
        <v>0</v>
      </c>
      <c r="E45" s="415">
        <f>Plano!E38</f>
        <v>0</v>
      </c>
      <c r="F45" s="415">
        <f>Plano!F38</f>
        <v>0</v>
      </c>
      <c r="G45" s="416">
        <f>F45*(1+Parâmetros!E11)*(1+Parâmetros!E19)</f>
        <v>0</v>
      </c>
      <c r="H45" s="416">
        <f>G45*(1+Parâmetros!F11)*(1+Parâmetros!F19)</f>
        <v>0</v>
      </c>
      <c r="I45" s="416">
        <f>H45*(1+Parâmetros!G11)*(1+Parâmetros!G19)</f>
        <v>0</v>
      </c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441"/>
      <c r="CB45" s="441"/>
      <c r="CC45" s="441"/>
      <c r="CD45" s="441"/>
      <c r="CE45" s="441"/>
      <c r="CF45" s="441"/>
    </row>
    <row r="46" spans="1:84" ht="20.25">
      <c r="A46" s="417" t="s">
        <v>82</v>
      </c>
      <c r="B46" s="426" t="s">
        <v>382</v>
      </c>
      <c r="C46" s="415">
        <f>Plano!C39</f>
        <v>0</v>
      </c>
      <c r="D46" s="415">
        <f>Plano!D39</f>
        <v>0</v>
      </c>
      <c r="E46" s="415">
        <f>Plano!E39</f>
        <v>0</v>
      </c>
      <c r="F46" s="415">
        <f>Plano!F39</f>
        <v>0</v>
      </c>
      <c r="G46" s="416">
        <f>F46*(1+Parâmetros!E11)*(1+Parâmetros!E19)</f>
        <v>0</v>
      </c>
      <c r="H46" s="416">
        <f>G46*(1+Parâmetros!F11)*(1+Parâmetros!F19)</f>
        <v>0</v>
      </c>
      <c r="I46" s="416">
        <f>H46*(1+Parâmetros!G11)*(1+Parâmetros!G19)</f>
        <v>0</v>
      </c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1"/>
      <c r="BM46" s="441"/>
      <c r="BN46" s="441"/>
      <c r="BO46" s="441"/>
      <c r="BP46" s="441"/>
      <c r="BQ46" s="441"/>
      <c r="BR46" s="441"/>
      <c r="BS46" s="441"/>
      <c r="BT46" s="441"/>
      <c r="BU46" s="441"/>
      <c r="BV46" s="441"/>
      <c r="BW46" s="441"/>
      <c r="BX46" s="441"/>
      <c r="BY46" s="441"/>
      <c r="BZ46" s="441"/>
      <c r="CA46" s="441"/>
      <c r="CB46" s="441"/>
      <c r="CC46" s="441"/>
      <c r="CD46" s="441"/>
      <c r="CE46" s="441"/>
      <c r="CF46" s="441"/>
    </row>
    <row r="47" spans="1:84" s="25" customFormat="1" ht="20.25">
      <c r="A47" s="413" t="s">
        <v>84</v>
      </c>
      <c r="B47" s="414" t="s">
        <v>85</v>
      </c>
      <c r="C47" s="415">
        <f>Plano!C40</f>
        <v>5492505.39</v>
      </c>
      <c r="D47" s="415">
        <f>Plano!D40</f>
        <v>5775055.29</v>
      </c>
      <c r="E47" s="415">
        <f>Plano!E40</f>
        <v>5840213.46</v>
      </c>
      <c r="F47" s="415">
        <f>Plano!F40</f>
        <v>6346079.47</v>
      </c>
      <c r="G47" s="416">
        <f>G48+G49</f>
        <v>6995918.007728001</v>
      </c>
      <c r="H47" s="416">
        <f>H48+H49</f>
        <v>7603163.690798791</v>
      </c>
      <c r="I47" s="416">
        <f>I48+I49</f>
        <v>8263118.299160126</v>
      </c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2"/>
      <c r="AZ47" s="442"/>
      <c r="BA47" s="442"/>
      <c r="BB47" s="442"/>
      <c r="BC47" s="442"/>
      <c r="BD47" s="442"/>
      <c r="BE47" s="442"/>
      <c r="BF47" s="442"/>
      <c r="BG47" s="442"/>
      <c r="BH47" s="442"/>
      <c r="BI47" s="442"/>
      <c r="BJ47" s="442"/>
      <c r="BK47" s="442"/>
      <c r="BL47" s="442"/>
      <c r="BM47" s="442"/>
      <c r="BN47" s="442"/>
      <c r="BO47" s="442"/>
      <c r="BP47" s="442"/>
      <c r="BQ47" s="442"/>
      <c r="BR47" s="442"/>
      <c r="BS47" s="442"/>
      <c r="BT47" s="442"/>
      <c r="BU47" s="442"/>
      <c r="BV47" s="442"/>
      <c r="BW47" s="442"/>
      <c r="BX47" s="442"/>
      <c r="BY47" s="442"/>
      <c r="BZ47" s="442"/>
      <c r="CA47" s="442"/>
      <c r="CB47" s="442"/>
      <c r="CC47" s="442"/>
      <c r="CD47" s="442"/>
      <c r="CE47" s="442"/>
      <c r="CF47" s="442"/>
    </row>
    <row r="48" spans="1:84" s="25" customFormat="1" ht="20.25">
      <c r="A48" s="417" t="s">
        <v>84</v>
      </c>
      <c r="B48" s="425" t="s">
        <v>228</v>
      </c>
      <c r="C48" s="415">
        <f>Plano!C41</f>
        <v>5492505.39</v>
      </c>
      <c r="D48" s="415">
        <f>Plano!D41</f>
        <v>5775055.29</v>
      </c>
      <c r="E48" s="415">
        <f>Plano!E41</f>
        <v>5840213.46</v>
      </c>
      <c r="F48" s="415">
        <f>Plano!F41</f>
        <v>6346079.47</v>
      </c>
      <c r="G48" s="416">
        <f>F48*(1+Parâmetros!E11)*(1+Parâmetros!E14)</f>
        <v>6995918.007728001</v>
      </c>
      <c r="H48" s="416">
        <f>G48*(1+Parâmetros!F11)*(1+Parâmetros!F14)</f>
        <v>7603163.690798791</v>
      </c>
      <c r="I48" s="416">
        <f>H48*(1+Parâmetros!G11)*(1+Parâmetros!G14)</f>
        <v>8263118.299160126</v>
      </c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2"/>
      <c r="AS48" s="442"/>
      <c r="AT48" s="442"/>
      <c r="AU48" s="442"/>
      <c r="AV48" s="442"/>
      <c r="AW48" s="442"/>
      <c r="AX48" s="442"/>
      <c r="AY48" s="442"/>
      <c r="AZ48" s="442"/>
      <c r="BA48" s="442"/>
      <c r="BB48" s="442"/>
      <c r="BC48" s="442"/>
      <c r="BD48" s="442"/>
      <c r="BE48" s="442"/>
      <c r="BF48" s="442"/>
      <c r="BG48" s="442"/>
      <c r="BH48" s="442"/>
      <c r="BI48" s="442"/>
      <c r="BJ48" s="442"/>
      <c r="BK48" s="442"/>
      <c r="BL48" s="442"/>
      <c r="BM48" s="442"/>
      <c r="BN48" s="442"/>
      <c r="BO48" s="442"/>
      <c r="BP48" s="442"/>
      <c r="BQ48" s="442"/>
      <c r="BR48" s="442"/>
      <c r="BS48" s="442"/>
      <c r="BT48" s="442"/>
      <c r="BU48" s="442"/>
      <c r="BV48" s="442"/>
      <c r="BW48" s="442"/>
      <c r="BX48" s="442"/>
      <c r="BY48" s="442"/>
      <c r="BZ48" s="442"/>
      <c r="CA48" s="442"/>
      <c r="CB48" s="442"/>
      <c r="CC48" s="442"/>
      <c r="CD48" s="442"/>
      <c r="CE48" s="442"/>
      <c r="CF48" s="442"/>
    </row>
    <row r="49" spans="1:84" s="25" customFormat="1" ht="20.25">
      <c r="A49" s="417" t="s">
        <v>84</v>
      </c>
      <c r="B49" s="426" t="s">
        <v>383</v>
      </c>
      <c r="C49" s="415">
        <f>Plano!C42</f>
        <v>0</v>
      </c>
      <c r="D49" s="415">
        <f>Plano!D42</f>
        <v>0</v>
      </c>
      <c r="E49" s="415">
        <f>Plano!E42</f>
        <v>0</v>
      </c>
      <c r="F49" s="415">
        <f>Plano!F42</f>
        <v>0</v>
      </c>
      <c r="G49" s="416">
        <f>F49*(1+Parâmetros!E11)*(1+Parâmetros!E14)</f>
        <v>0</v>
      </c>
      <c r="H49" s="416">
        <f>G49*(1+Parâmetros!F11)*(1+Parâmetros!F14)</f>
        <v>0</v>
      </c>
      <c r="I49" s="416">
        <f>H49*(1+Parâmetros!G11)*(1+Parâmetros!G14)</f>
        <v>0</v>
      </c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2"/>
      <c r="BQ49" s="442"/>
      <c r="BR49" s="442"/>
      <c r="BS49" s="442"/>
      <c r="BT49" s="442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</row>
    <row r="50" spans="1:84" s="25" customFormat="1" ht="20.25">
      <c r="A50" s="413" t="s">
        <v>86</v>
      </c>
      <c r="B50" s="414" t="s">
        <v>8</v>
      </c>
      <c r="C50" s="415">
        <f>Plano!C43</f>
        <v>2174220.93</v>
      </c>
      <c r="D50" s="415">
        <f>Plano!D43</f>
        <v>1245148.53</v>
      </c>
      <c r="E50" s="415">
        <f>Plano!E43</f>
        <v>1238850</v>
      </c>
      <c r="F50" s="415">
        <f>Plano!F43</f>
        <v>760629.49</v>
      </c>
      <c r="G50" s="415">
        <f>G51+G54+G57</f>
        <v>648660.9076774744</v>
      </c>
      <c r="H50" s="415">
        <f>H51+H54+H57</f>
        <v>616660.1166932603</v>
      </c>
      <c r="I50" s="415">
        <f>I51+I54+I57</f>
        <v>599180.5411337649</v>
      </c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2"/>
      <c r="BT50" s="442"/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</row>
    <row r="51" spans="1:84" s="25" customFormat="1" ht="20.25">
      <c r="A51" s="413" t="s">
        <v>87</v>
      </c>
      <c r="B51" s="414" t="s">
        <v>9</v>
      </c>
      <c r="C51" s="415">
        <f>Plano!C44</f>
        <v>1983511.06</v>
      </c>
      <c r="D51" s="415">
        <f>Plano!D44</f>
        <v>997874.34</v>
      </c>
      <c r="E51" s="415">
        <f>Plano!E44</f>
        <v>918850</v>
      </c>
      <c r="F51" s="415">
        <f>Plano!F44</f>
        <v>478500.37</v>
      </c>
      <c r="G51" s="416">
        <f>G52+G53</f>
        <v>313717.2164134743</v>
      </c>
      <c r="H51" s="416">
        <f>H52+H53</f>
        <v>222891.9396510202</v>
      </c>
      <c r="I51" s="416">
        <f>I52+I53</f>
        <v>136256.82799848137</v>
      </c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442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2"/>
      <c r="BT51" s="442"/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2"/>
      <c r="CF51" s="442"/>
    </row>
    <row r="52" spans="1:84" s="25" customFormat="1" ht="20.25">
      <c r="A52" s="417" t="s">
        <v>87</v>
      </c>
      <c r="B52" s="425" t="s">
        <v>229</v>
      </c>
      <c r="C52" s="415">
        <f>Plano!C45</f>
        <v>1983511.06</v>
      </c>
      <c r="D52" s="415">
        <f>Plano!D45</f>
        <v>997874.34</v>
      </c>
      <c r="E52" s="415">
        <f>Plano!E45</f>
        <v>918850</v>
      </c>
      <c r="F52" s="415">
        <f>Plano!F45</f>
        <v>478500.37</v>
      </c>
      <c r="G52" s="416">
        <f>F52*(1+Parâmetros!E11)*(1+Parâmetros!E18)</f>
        <v>313717.2164134743</v>
      </c>
      <c r="H52" s="416">
        <f>G52*(1+Parâmetros!F11)*(1+Parâmetros!F18)</f>
        <v>222891.9396510202</v>
      </c>
      <c r="I52" s="416">
        <f>H52*(1+Parâmetros!G11)*(1+Parâmetros!G18)</f>
        <v>136256.82799848137</v>
      </c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2"/>
      <c r="CF52" s="442"/>
    </row>
    <row r="53" spans="1:84" s="25" customFormat="1" ht="20.25">
      <c r="A53" s="417" t="s">
        <v>87</v>
      </c>
      <c r="B53" s="426" t="s">
        <v>384</v>
      </c>
      <c r="C53" s="415">
        <f>Plano!C46</f>
        <v>0</v>
      </c>
      <c r="D53" s="415">
        <f>Plano!D46</f>
        <v>0</v>
      </c>
      <c r="E53" s="415">
        <f>Plano!E46</f>
        <v>0</v>
      </c>
      <c r="F53" s="415">
        <f>Plano!F46</f>
        <v>0</v>
      </c>
      <c r="G53" s="416">
        <f>F53*(1+Parâmetros!E11)*(1+Parâmetros!E18)</f>
        <v>0</v>
      </c>
      <c r="H53" s="416">
        <f>G53*(1+Parâmetros!F11)*(1+Parâmetros!F18)</f>
        <v>0</v>
      </c>
      <c r="I53" s="416">
        <f>H53*(1+Parâmetros!G11)*(1+Parâmetros!G18)</f>
        <v>0</v>
      </c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2"/>
      <c r="AR53" s="442"/>
      <c r="AS53" s="442"/>
      <c r="AT53" s="442"/>
      <c r="AU53" s="442"/>
      <c r="AV53" s="442"/>
      <c r="AW53" s="442"/>
      <c r="AX53" s="442"/>
      <c r="AY53" s="442"/>
      <c r="AZ53" s="442"/>
      <c r="BA53" s="442"/>
      <c r="BB53" s="442"/>
      <c r="BC53" s="442"/>
      <c r="BD53" s="442"/>
      <c r="BE53" s="442"/>
      <c r="BF53" s="442"/>
      <c r="BG53" s="442"/>
      <c r="BH53" s="442"/>
      <c r="BI53" s="442"/>
      <c r="BJ53" s="442"/>
      <c r="BK53" s="442"/>
      <c r="BL53" s="442"/>
      <c r="BM53" s="442"/>
      <c r="BN53" s="442"/>
      <c r="BO53" s="442"/>
      <c r="BP53" s="442"/>
      <c r="BQ53" s="442"/>
      <c r="BR53" s="442"/>
      <c r="BS53" s="442"/>
      <c r="BT53" s="442"/>
      <c r="BU53" s="442"/>
      <c r="BV53" s="442"/>
      <c r="BW53" s="442"/>
      <c r="BX53" s="442"/>
      <c r="BY53" s="442"/>
      <c r="BZ53" s="442"/>
      <c r="CA53" s="442"/>
      <c r="CB53" s="442"/>
      <c r="CC53" s="442"/>
      <c r="CD53" s="442"/>
      <c r="CE53" s="442"/>
      <c r="CF53" s="442"/>
    </row>
    <row r="54" spans="1:84" s="25" customFormat="1" ht="20.25">
      <c r="A54" s="413" t="s">
        <v>88</v>
      </c>
      <c r="B54" s="414" t="s">
        <v>10</v>
      </c>
      <c r="C54" s="415">
        <f>Plano!C47</f>
        <v>0</v>
      </c>
      <c r="D54" s="415">
        <f>Plano!D47</f>
        <v>0</v>
      </c>
      <c r="E54" s="415">
        <f>Plano!E47</f>
        <v>0</v>
      </c>
      <c r="F54" s="415">
        <f>Plano!F47</f>
        <v>0</v>
      </c>
      <c r="G54" s="415">
        <f>G55+G56</f>
        <v>0</v>
      </c>
      <c r="H54" s="415">
        <f>H55+H56</f>
        <v>0</v>
      </c>
      <c r="I54" s="415">
        <f>I55+I56</f>
        <v>0</v>
      </c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442"/>
      <c r="AU54" s="442"/>
      <c r="AV54" s="442"/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2"/>
      <c r="BH54" s="442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2"/>
      <c r="BT54" s="442"/>
      <c r="BU54" s="442"/>
      <c r="BV54" s="442"/>
      <c r="BW54" s="442"/>
      <c r="BX54" s="442"/>
      <c r="BY54" s="442"/>
      <c r="BZ54" s="442"/>
      <c r="CA54" s="442"/>
      <c r="CB54" s="442"/>
      <c r="CC54" s="442"/>
      <c r="CD54" s="442"/>
      <c r="CE54" s="442"/>
      <c r="CF54" s="442"/>
    </row>
    <row r="55" spans="1:84" ht="20.25">
      <c r="A55" s="413" t="s">
        <v>89</v>
      </c>
      <c r="B55" s="414" t="s">
        <v>90</v>
      </c>
      <c r="C55" s="415">
        <f>Plano!C48</f>
        <v>0</v>
      </c>
      <c r="D55" s="415">
        <f>Plano!D48</f>
        <v>0</v>
      </c>
      <c r="E55" s="415">
        <f>Plano!E48</f>
        <v>0</v>
      </c>
      <c r="F55" s="415">
        <f>Plano!F48</f>
        <v>0</v>
      </c>
      <c r="G55" s="416">
        <f>F55*(1+Parâmetros!E11)*(1+Parâmetros!E12)</f>
        <v>0</v>
      </c>
      <c r="H55" s="416">
        <f>G55*(1+Parâmetros!F11)*(1+Parâmetros!F12)</f>
        <v>0</v>
      </c>
      <c r="I55" s="416">
        <f>H55*(1+Parâmetros!G11)*(1+Parâmetros!G12)</f>
        <v>0</v>
      </c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  <c r="BQ55" s="441"/>
      <c r="BR55" s="441"/>
      <c r="BS55" s="441"/>
      <c r="BT55" s="441"/>
      <c r="BU55" s="441"/>
      <c r="BV55" s="441"/>
      <c r="BW55" s="441"/>
      <c r="BX55" s="441"/>
      <c r="BY55" s="441"/>
      <c r="BZ55" s="441"/>
      <c r="CA55" s="441"/>
      <c r="CB55" s="441"/>
      <c r="CC55" s="441"/>
      <c r="CD55" s="441"/>
      <c r="CE55" s="441"/>
      <c r="CF55" s="441"/>
    </row>
    <row r="56" spans="1:84" ht="20.25">
      <c r="A56" s="413" t="s">
        <v>190</v>
      </c>
      <c r="B56" s="414" t="s">
        <v>214</v>
      </c>
      <c r="C56" s="415">
        <f>Plano!C49</f>
        <v>0</v>
      </c>
      <c r="D56" s="415">
        <f>Plano!D49</f>
        <v>0</v>
      </c>
      <c r="E56" s="415">
        <f>Plano!E49</f>
        <v>0</v>
      </c>
      <c r="F56" s="415">
        <f>Plano!F49</f>
        <v>0</v>
      </c>
      <c r="G56" s="416">
        <f>F56*(1+Parâmetros!E11)*(1+Parâmetros!E12)</f>
        <v>0</v>
      </c>
      <c r="H56" s="416">
        <f>G56*(1+Parâmetros!F11)*(1+Parâmetros!F12)</f>
        <v>0</v>
      </c>
      <c r="I56" s="416">
        <f>H56*(1+Parâmetros!G11)*(1+Parâmetros!G12)</f>
        <v>0</v>
      </c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Q56" s="441"/>
      <c r="BR56" s="441"/>
      <c r="BS56" s="441"/>
      <c r="BT56" s="441"/>
      <c r="BU56" s="441"/>
      <c r="BV56" s="441"/>
      <c r="BW56" s="441"/>
      <c r="BX56" s="441"/>
      <c r="BY56" s="441"/>
      <c r="BZ56" s="441"/>
      <c r="CA56" s="441"/>
      <c r="CB56" s="441"/>
      <c r="CC56" s="441"/>
      <c r="CD56" s="441"/>
      <c r="CE56" s="441"/>
      <c r="CF56" s="441"/>
    </row>
    <row r="57" spans="1:84" s="25" customFormat="1" ht="20.25">
      <c r="A57" s="413" t="s">
        <v>91</v>
      </c>
      <c r="B57" s="414" t="s">
        <v>92</v>
      </c>
      <c r="C57" s="415">
        <f>Plano!C50</f>
        <v>190709.87</v>
      </c>
      <c r="D57" s="415">
        <f>Plano!D50</f>
        <v>247274.19</v>
      </c>
      <c r="E57" s="415">
        <f>Plano!E50</f>
        <v>320000</v>
      </c>
      <c r="F57" s="415">
        <f>Plano!F50</f>
        <v>282129.12</v>
      </c>
      <c r="G57" s="416">
        <f>F57*(1+Parâmetros!E11)*(1+Parâmetros!E19)</f>
        <v>334943.6912640001</v>
      </c>
      <c r="H57" s="416">
        <f>G57*(1+Parâmetros!F11)*(1+Parâmetros!F19)</f>
        <v>393768.1770422401</v>
      </c>
      <c r="I57" s="416">
        <f>H57*(1+Parâmetros!G11)*(1+Parâmetros!G19)</f>
        <v>462923.7131352835</v>
      </c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2"/>
      <c r="AT57" s="442"/>
      <c r="AU57" s="442"/>
      <c r="AV57" s="442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2"/>
      <c r="BH57" s="442"/>
      <c r="BI57" s="442"/>
      <c r="BJ57" s="442"/>
      <c r="BK57" s="442"/>
      <c r="BL57" s="442"/>
      <c r="BM57" s="442"/>
      <c r="BN57" s="442"/>
      <c r="BO57" s="442"/>
      <c r="BP57" s="442"/>
      <c r="BQ57" s="442"/>
      <c r="BR57" s="442"/>
      <c r="BS57" s="442"/>
      <c r="BT57" s="442"/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2"/>
    </row>
    <row r="58" spans="1:84" s="25" customFormat="1" ht="20.25">
      <c r="A58" s="413" t="s">
        <v>347</v>
      </c>
      <c r="B58" s="414" t="s">
        <v>201</v>
      </c>
      <c r="C58" s="415"/>
      <c r="D58" s="415"/>
      <c r="E58" s="415"/>
      <c r="F58" s="415">
        <f>Plano!F52</f>
        <v>3995314.9800000004</v>
      </c>
      <c r="G58" s="416">
        <f>G35-G40-G50-G59</f>
        <v>5226266.856452939</v>
      </c>
      <c r="H58" s="416">
        <f>H35-H40-H50-H59</f>
        <v>6727625.945097052</v>
      </c>
      <c r="I58" s="416">
        <f>I35-I40-I50-I59</f>
        <v>8533578.033188675</v>
      </c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2"/>
      <c r="AY58" s="442"/>
      <c r="AZ58" s="442"/>
      <c r="BA58" s="442"/>
      <c r="BB58" s="442"/>
      <c r="BC58" s="442"/>
      <c r="BD58" s="442"/>
      <c r="BE58" s="442"/>
      <c r="BF58" s="442"/>
      <c r="BG58" s="442"/>
      <c r="BH58" s="442"/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2"/>
      <c r="BT58" s="442"/>
      <c r="BU58" s="442"/>
      <c r="BV58" s="442"/>
      <c r="BW58" s="442"/>
      <c r="BX58" s="442"/>
      <c r="BY58" s="442"/>
      <c r="BZ58" s="442"/>
      <c r="CA58" s="442"/>
      <c r="CB58" s="442"/>
      <c r="CC58" s="442"/>
      <c r="CD58" s="442"/>
      <c r="CE58" s="442"/>
      <c r="CF58" s="442"/>
    </row>
    <row r="59" spans="1:84" ht="20.25">
      <c r="A59" s="413" t="s">
        <v>348</v>
      </c>
      <c r="B59" s="426" t="s">
        <v>230</v>
      </c>
      <c r="C59" s="415"/>
      <c r="D59" s="415"/>
      <c r="E59" s="415"/>
      <c r="F59" s="415">
        <f>Plano!F53</f>
        <v>0</v>
      </c>
      <c r="G59" s="416">
        <f>(G13+G17+G25+G32)-(G43+G46+G49+G53)</f>
        <v>0</v>
      </c>
      <c r="H59" s="416">
        <f>(H13+H17+H25+H32)-(H43+H46+H49+H53)</f>
        <v>0</v>
      </c>
      <c r="I59" s="416">
        <f>(I13+I17+I25+I32)-(I43+I46+I49+I53)</f>
        <v>0</v>
      </c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1"/>
      <c r="AS59" s="441"/>
      <c r="AT59" s="441"/>
      <c r="AU59" s="441"/>
      <c r="AV59" s="441"/>
      <c r="AW59" s="441"/>
      <c r="AX59" s="441"/>
      <c r="AY59" s="441"/>
      <c r="AZ59" s="441"/>
      <c r="BA59" s="441"/>
      <c r="BB59" s="441"/>
      <c r="BC59" s="441"/>
      <c r="BD59" s="441"/>
      <c r="BE59" s="441"/>
      <c r="BF59" s="441"/>
      <c r="BG59" s="441"/>
      <c r="BH59" s="441"/>
      <c r="BI59" s="441"/>
      <c r="BJ59" s="441"/>
      <c r="BK59" s="441"/>
      <c r="BL59" s="441"/>
      <c r="BM59" s="441"/>
      <c r="BN59" s="441"/>
      <c r="BO59" s="441"/>
      <c r="BP59" s="441"/>
      <c r="BQ59" s="441"/>
      <c r="BR59" s="441"/>
      <c r="BS59" s="441"/>
      <c r="BT59" s="441"/>
      <c r="BU59" s="441"/>
      <c r="BV59" s="441"/>
      <c r="BW59" s="441"/>
      <c r="BX59" s="441"/>
      <c r="BY59" s="441"/>
      <c r="BZ59" s="441"/>
      <c r="CA59" s="441"/>
      <c r="CB59" s="441"/>
      <c r="CC59" s="441"/>
      <c r="CD59" s="441"/>
      <c r="CE59" s="441"/>
      <c r="CF59" s="441"/>
    </row>
    <row r="60" spans="1:84" s="26" customFormat="1" ht="21" thickBot="1">
      <c r="A60" s="421"/>
      <c r="B60" s="422" t="s">
        <v>93</v>
      </c>
      <c r="C60" s="415">
        <f>Plano!C55</f>
        <v>16188017.939999998</v>
      </c>
      <c r="D60" s="415">
        <f>Plano!D55</f>
        <v>16029583.819999998</v>
      </c>
      <c r="E60" s="415">
        <f>Plano!E55</f>
        <v>16853923.75</v>
      </c>
      <c r="F60" s="415">
        <f>Plano!F55</f>
        <v>19466388</v>
      </c>
      <c r="G60" s="415">
        <f>G40+G50+G58+G59</f>
        <v>21092039.39720701</v>
      </c>
      <c r="H60" s="415">
        <f>H40+H50+H58+H59</f>
        <v>22846765.866690964</v>
      </c>
      <c r="I60" s="415">
        <f>I40+I50+I58+I59</f>
        <v>24680234.17415839</v>
      </c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3"/>
      <c r="AV60" s="443"/>
      <c r="AW60" s="443"/>
      <c r="AX60" s="443"/>
      <c r="AY60" s="443"/>
      <c r="AZ60" s="443"/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3"/>
      <c r="CD60" s="443"/>
      <c r="CE60" s="443"/>
      <c r="CF60" s="443"/>
    </row>
    <row r="61" spans="1:84" s="1" customFormat="1" ht="17.25" customHeight="1" hidden="1">
      <c r="A61" s="73">
        <v>50000002</v>
      </c>
      <c r="B61" s="74" t="s">
        <v>40</v>
      </c>
      <c r="C61" s="75"/>
      <c r="D61" s="76"/>
      <c r="E61" s="76"/>
      <c r="F61" s="76"/>
      <c r="G61" s="76"/>
      <c r="H61" s="76"/>
      <c r="I61" s="76"/>
      <c r="J61" s="11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  <c r="AR61" s="444"/>
      <c r="AS61" s="444"/>
      <c r="AT61" s="444"/>
      <c r="AU61" s="444"/>
      <c r="AV61" s="444"/>
      <c r="AW61" s="444"/>
      <c r="AX61" s="444"/>
      <c r="AY61" s="444"/>
      <c r="AZ61" s="444"/>
      <c r="BA61" s="444"/>
      <c r="BB61" s="444"/>
      <c r="BC61" s="444"/>
      <c r="BD61" s="444"/>
      <c r="BE61" s="444"/>
      <c r="BF61" s="444"/>
      <c r="BG61" s="444"/>
      <c r="BH61" s="444"/>
      <c r="BI61" s="444"/>
      <c r="BJ61" s="444"/>
      <c r="BK61" s="444"/>
      <c r="BL61" s="444"/>
      <c r="BM61" s="444"/>
      <c r="BN61" s="444"/>
      <c r="BO61" s="444"/>
      <c r="BP61" s="444"/>
      <c r="BQ61" s="444"/>
      <c r="BR61" s="444"/>
      <c r="BS61" s="444"/>
      <c r="BT61" s="444"/>
      <c r="BU61" s="444"/>
      <c r="BV61" s="444"/>
      <c r="BW61" s="444"/>
      <c r="BX61" s="444"/>
      <c r="BY61" s="444"/>
      <c r="BZ61" s="444"/>
      <c r="CA61" s="444"/>
      <c r="CB61" s="444"/>
      <c r="CC61" s="444"/>
      <c r="CD61" s="444"/>
      <c r="CE61" s="444"/>
      <c r="CF61" s="444"/>
    </row>
    <row r="62" spans="1:84" s="1" customFormat="1" ht="17.25" customHeight="1" hidden="1">
      <c r="A62" s="77"/>
      <c r="B62" s="78" t="s">
        <v>13</v>
      </c>
      <c r="C62" s="79" t="s">
        <v>15</v>
      </c>
      <c r="D62" s="79" t="e">
        <f>IF(#REF!&gt;0,"REALIZADO","PROJETADO")</f>
        <v>#REF!</v>
      </c>
      <c r="E62" s="79" t="e">
        <f>IF(#REF!&gt;0,"REALIZADO","PROJETADO")</f>
        <v>#REF!</v>
      </c>
      <c r="F62" s="79" t="e">
        <f>IF(#REF!&gt;0,"REALIZADO","PROJETADO")</f>
        <v>#REF!</v>
      </c>
      <c r="G62" s="79" t="s">
        <v>18</v>
      </c>
      <c r="H62" s="79"/>
      <c r="I62" s="79" t="s">
        <v>18</v>
      </c>
      <c r="J62" s="12" t="s">
        <v>18</v>
      </c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4"/>
      <c r="AD62" s="444"/>
      <c r="AE62" s="444"/>
      <c r="AF62" s="444"/>
      <c r="AG62" s="444"/>
      <c r="AH62" s="444"/>
      <c r="AI62" s="444"/>
      <c r="AJ62" s="444"/>
      <c r="AK62" s="444"/>
      <c r="AL62" s="444"/>
      <c r="AM62" s="444"/>
      <c r="AN62" s="444"/>
      <c r="AO62" s="444"/>
      <c r="AP62" s="444"/>
      <c r="AQ62" s="444"/>
      <c r="AR62" s="444"/>
      <c r="AS62" s="444"/>
      <c r="AT62" s="444"/>
      <c r="AU62" s="444"/>
      <c r="AV62" s="444"/>
      <c r="AW62" s="444"/>
      <c r="AX62" s="444"/>
      <c r="AY62" s="444"/>
      <c r="AZ62" s="444"/>
      <c r="BA62" s="444"/>
      <c r="BB62" s="444"/>
      <c r="BC62" s="444"/>
      <c r="BD62" s="444"/>
      <c r="BE62" s="444"/>
      <c r="BF62" s="444"/>
      <c r="BG62" s="444"/>
      <c r="BH62" s="444"/>
      <c r="BI62" s="444"/>
      <c r="BJ62" s="444"/>
      <c r="BK62" s="444"/>
      <c r="BL62" s="444"/>
      <c r="BM62" s="444"/>
      <c r="BN62" s="444"/>
      <c r="BO62" s="444"/>
      <c r="BP62" s="444"/>
      <c r="BQ62" s="444"/>
      <c r="BR62" s="444"/>
      <c r="BS62" s="444"/>
      <c r="BT62" s="444"/>
      <c r="BU62" s="444"/>
      <c r="BV62" s="444"/>
      <c r="BW62" s="444"/>
      <c r="BX62" s="444"/>
      <c r="BY62" s="444"/>
      <c r="BZ62" s="444"/>
      <c r="CA62" s="444"/>
      <c r="CB62" s="444"/>
      <c r="CC62" s="444"/>
      <c r="CD62" s="444"/>
      <c r="CE62" s="444"/>
      <c r="CF62" s="444"/>
    </row>
    <row r="63" spans="1:84" s="1" customFormat="1" ht="17.25" customHeight="1" hidden="1">
      <c r="A63" s="77"/>
      <c r="B63" s="80" t="s">
        <v>12</v>
      </c>
      <c r="C63" s="72">
        <v>1999</v>
      </c>
      <c r="D63" s="72">
        <v>2000</v>
      </c>
      <c r="E63" s="72">
        <v>2001</v>
      </c>
      <c r="F63" s="72">
        <v>2002</v>
      </c>
      <c r="G63" s="72">
        <v>2003</v>
      </c>
      <c r="H63" s="72"/>
      <c r="I63" s="72">
        <v>2004</v>
      </c>
      <c r="J63" s="10">
        <v>2005</v>
      </c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4"/>
      <c r="BQ63" s="444"/>
      <c r="BR63" s="444"/>
      <c r="BS63" s="444"/>
      <c r="BT63" s="444"/>
      <c r="BU63" s="444"/>
      <c r="BV63" s="444"/>
      <c r="BW63" s="444"/>
      <c r="BX63" s="444"/>
      <c r="BY63" s="444"/>
      <c r="BZ63" s="444"/>
      <c r="CA63" s="444"/>
      <c r="CB63" s="444"/>
      <c r="CC63" s="444"/>
      <c r="CD63" s="444"/>
      <c r="CE63" s="444"/>
      <c r="CF63" s="444"/>
    </row>
    <row r="64" spans="1:84" s="1" customFormat="1" ht="17.25" customHeight="1" hidden="1">
      <c r="A64" s="77"/>
      <c r="B64" s="81"/>
      <c r="C64" s="82"/>
      <c r="D64" s="82"/>
      <c r="E64" s="82"/>
      <c r="F64" s="82"/>
      <c r="G64" s="82"/>
      <c r="H64" s="82"/>
      <c r="I64" s="82"/>
      <c r="J64" s="13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444"/>
      <c r="BR64" s="444"/>
      <c r="BS64" s="444"/>
      <c r="BT64" s="444"/>
      <c r="BU64" s="444"/>
      <c r="BV64" s="444"/>
      <c r="BW64" s="444"/>
      <c r="BX64" s="444"/>
      <c r="BY64" s="444"/>
      <c r="BZ64" s="444"/>
      <c r="CA64" s="444"/>
      <c r="CB64" s="444"/>
      <c r="CC64" s="444"/>
      <c r="CD64" s="444"/>
      <c r="CE64" s="444"/>
      <c r="CF64" s="444"/>
    </row>
    <row r="65" spans="1:84" s="1" customFormat="1" ht="16.5" hidden="1" thickBot="1">
      <c r="A65" s="77"/>
      <c r="B65" s="81" t="s">
        <v>20</v>
      </c>
      <c r="C65" s="83" t="e">
        <f>C8-#REF!-C14+C69-#REF!</f>
        <v>#REF!</v>
      </c>
      <c r="D65" s="83" t="e">
        <f>D8-#REF!-D14+D69-#REF!</f>
        <v>#REF!</v>
      </c>
      <c r="E65" s="83" t="e">
        <f>E8-#REF!-E14+E69-#REF!</f>
        <v>#REF!</v>
      </c>
      <c r="F65" s="83" t="e">
        <f>F8-#REF!-F14+F69-#REF!</f>
        <v>#REF!</v>
      </c>
      <c r="G65" s="83" t="e">
        <f>G8-#REF!-G14+G69-#REF!</f>
        <v>#REF!</v>
      </c>
      <c r="H65" s="83"/>
      <c r="I65" s="83" t="e">
        <f>I8-#REF!-I14+I69-#REF!</f>
        <v>#REF!</v>
      </c>
      <c r="J65" s="18" t="e">
        <f>J8-#REF!-J14+J69</f>
        <v>#REF!</v>
      </c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  <c r="BG65" s="444"/>
      <c r="BH65" s="444"/>
      <c r="BI65" s="444"/>
      <c r="BJ65" s="444"/>
      <c r="BK65" s="444"/>
      <c r="BL65" s="444"/>
      <c r="BM65" s="444"/>
      <c r="BN65" s="444"/>
      <c r="BO65" s="444"/>
      <c r="BP65" s="444"/>
      <c r="BQ65" s="444"/>
      <c r="BR65" s="444"/>
      <c r="BS65" s="444"/>
      <c r="BT65" s="444"/>
      <c r="BU65" s="444"/>
      <c r="BV65" s="444"/>
      <c r="BW65" s="444"/>
      <c r="BX65" s="444"/>
      <c r="BY65" s="444"/>
      <c r="BZ65" s="444"/>
      <c r="CA65" s="444"/>
      <c r="CB65" s="444"/>
      <c r="CC65" s="444"/>
      <c r="CD65" s="444"/>
      <c r="CE65" s="444"/>
      <c r="CF65" s="444"/>
    </row>
    <row r="66" spans="1:84" s="1" customFormat="1" ht="16.5" hidden="1" thickBot="1">
      <c r="A66" s="77"/>
      <c r="B66" s="81" t="s">
        <v>21</v>
      </c>
      <c r="C66" s="83">
        <f>C9</f>
        <v>18930238.85</v>
      </c>
      <c r="D66" s="83">
        <f aca="true" t="shared" si="2" ref="D66:J66">D9</f>
        <v>20015226.96</v>
      </c>
      <c r="E66" s="83">
        <f t="shared" si="2"/>
        <v>20947403.79</v>
      </c>
      <c r="F66" s="83">
        <f t="shared" si="2"/>
        <v>22585636</v>
      </c>
      <c r="G66" s="83">
        <f t="shared" si="2"/>
        <v>24481432.98949501</v>
      </c>
      <c r="H66" s="83"/>
      <c r="I66" s="83">
        <f t="shared" si="2"/>
        <v>28573848.47084391</v>
      </c>
      <c r="J66" s="18">
        <f t="shared" si="2"/>
        <v>0</v>
      </c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44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4"/>
      <c r="BM66" s="444"/>
      <c r="BN66" s="444"/>
      <c r="BO66" s="444"/>
      <c r="BP66" s="444"/>
      <c r="BQ66" s="444"/>
      <c r="BR66" s="444"/>
      <c r="BS66" s="444"/>
      <c r="BT66" s="444"/>
      <c r="BU66" s="444"/>
      <c r="BV66" s="444"/>
      <c r="BW66" s="444"/>
      <c r="BX66" s="444"/>
      <c r="BY66" s="444"/>
      <c r="BZ66" s="444"/>
      <c r="CA66" s="444"/>
      <c r="CB66" s="444"/>
      <c r="CC66" s="444"/>
      <c r="CD66" s="444"/>
      <c r="CE66" s="444"/>
      <c r="CF66" s="444"/>
    </row>
    <row r="67" spans="1:84" s="1" customFormat="1" ht="16.5" hidden="1" thickBot="1">
      <c r="A67" s="77"/>
      <c r="B67" s="81" t="s">
        <v>22</v>
      </c>
      <c r="C67" s="83" t="e">
        <f>C19+C20+C22+#REF!+#REF!+#REF!+#REF!</f>
        <v>#REF!</v>
      </c>
      <c r="D67" s="83" t="e">
        <f>D19+D20+D22+#REF!+#REF!+#REF!+#REF!</f>
        <v>#REF!</v>
      </c>
      <c r="E67" s="83" t="e">
        <f>E19+E20+E22+#REF!+#REF!+#REF!+#REF!</f>
        <v>#REF!</v>
      </c>
      <c r="F67" s="83" t="e">
        <f>F19+F20+F22+#REF!+#REF!+#REF!+#REF!</f>
        <v>#REF!</v>
      </c>
      <c r="G67" s="83" t="e">
        <f>G19+G20+G22+#REF!+#REF!+#REF!+#REF!</f>
        <v>#REF!</v>
      </c>
      <c r="H67" s="83"/>
      <c r="I67" s="83" t="e">
        <f>I19+I20+I22+#REF!+#REF!+#REF!+#REF!</f>
        <v>#REF!</v>
      </c>
      <c r="J67" s="18" t="e">
        <f>J19+J20+J22+#REF!+#REF!+#REF!+#REF!</f>
        <v>#REF!</v>
      </c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4"/>
      <c r="AH67" s="444"/>
      <c r="AI67" s="444"/>
      <c r="AJ67" s="444"/>
      <c r="AK67" s="444"/>
      <c r="AL67" s="444"/>
      <c r="AM67" s="444"/>
      <c r="AN67" s="444"/>
      <c r="AO67" s="444"/>
      <c r="AP67" s="444"/>
      <c r="AQ67" s="444"/>
      <c r="AR67" s="444"/>
      <c r="AS67" s="444"/>
      <c r="AT67" s="444"/>
      <c r="AU67" s="444"/>
      <c r="AV67" s="444"/>
      <c r="AW67" s="444"/>
      <c r="AX67" s="444"/>
      <c r="AY67" s="444"/>
      <c r="AZ67" s="444"/>
      <c r="BA67" s="444"/>
      <c r="BB67" s="444"/>
      <c r="BC67" s="444"/>
      <c r="BD67" s="444"/>
      <c r="BE67" s="444"/>
      <c r="BF67" s="444"/>
      <c r="BG67" s="444"/>
      <c r="BH67" s="444"/>
      <c r="BI67" s="444"/>
      <c r="BJ67" s="444"/>
      <c r="BK67" s="444"/>
      <c r="BL67" s="444"/>
      <c r="BM67" s="444"/>
      <c r="BN67" s="444"/>
      <c r="BO67" s="444"/>
      <c r="BP67" s="444"/>
      <c r="BQ67" s="444"/>
      <c r="BR67" s="444"/>
      <c r="BS67" s="444"/>
      <c r="BT67" s="444"/>
      <c r="BU67" s="444"/>
      <c r="BV67" s="444"/>
      <c r="BW67" s="444"/>
      <c r="BX67" s="444"/>
      <c r="BY67" s="444"/>
      <c r="BZ67" s="444"/>
      <c r="CA67" s="444"/>
      <c r="CB67" s="444"/>
      <c r="CC67" s="444"/>
      <c r="CD67" s="444"/>
      <c r="CE67" s="444"/>
      <c r="CF67" s="444"/>
    </row>
    <row r="68" spans="1:84" s="1" customFormat="1" ht="16.5" hidden="1" thickBot="1">
      <c r="A68" s="77"/>
      <c r="B68" s="81" t="s">
        <v>23</v>
      </c>
      <c r="C68" s="83" t="e">
        <f>#REF!</f>
        <v>#REF!</v>
      </c>
      <c r="D68" s="83" t="e">
        <f>#REF!</f>
        <v>#REF!</v>
      </c>
      <c r="E68" s="83" t="e">
        <f>#REF!</f>
        <v>#REF!</v>
      </c>
      <c r="F68" s="83" t="e">
        <f>#REF!</f>
        <v>#REF!</v>
      </c>
      <c r="G68" s="83" t="e">
        <f>#REF!</f>
        <v>#REF!</v>
      </c>
      <c r="H68" s="83"/>
      <c r="I68" s="83" t="e">
        <f>#REF!</f>
        <v>#REF!</v>
      </c>
      <c r="J68" s="18" t="e">
        <f>#REF!</f>
        <v>#REF!</v>
      </c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444"/>
      <c r="AN68" s="444"/>
      <c r="AO68" s="444"/>
      <c r="AP68" s="444"/>
      <c r="AQ68" s="444"/>
      <c r="AR68" s="444"/>
      <c r="AS68" s="444"/>
      <c r="AT68" s="444"/>
      <c r="AU68" s="444"/>
      <c r="AV68" s="444"/>
      <c r="AW68" s="444"/>
      <c r="AX68" s="444"/>
      <c r="AY68" s="444"/>
      <c r="AZ68" s="444"/>
      <c r="BA68" s="444"/>
      <c r="BB68" s="444"/>
      <c r="BC68" s="444"/>
      <c r="BD68" s="444"/>
      <c r="BE68" s="444"/>
      <c r="BF68" s="444"/>
      <c r="BG68" s="444"/>
      <c r="BH68" s="444"/>
      <c r="BI68" s="444"/>
      <c r="BJ68" s="444"/>
      <c r="BK68" s="444"/>
      <c r="BL68" s="444"/>
      <c r="BM68" s="444"/>
      <c r="BN68" s="444"/>
      <c r="BO68" s="444"/>
      <c r="BP68" s="444"/>
      <c r="BQ68" s="444"/>
      <c r="BR68" s="444"/>
      <c r="BS68" s="444"/>
      <c r="BT68" s="444"/>
      <c r="BU68" s="444"/>
      <c r="BV68" s="444"/>
      <c r="BW68" s="444"/>
      <c r="BX68" s="444"/>
      <c r="BY68" s="444"/>
      <c r="BZ68" s="444"/>
      <c r="CA68" s="444"/>
      <c r="CB68" s="444"/>
      <c r="CC68" s="444"/>
      <c r="CD68" s="444"/>
      <c r="CE68" s="444"/>
      <c r="CF68" s="444"/>
    </row>
    <row r="69" spans="1:84" s="1" customFormat="1" ht="16.5" hidden="1" thickBot="1">
      <c r="A69" s="77"/>
      <c r="B69" s="81" t="s">
        <v>24</v>
      </c>
      <c r="C69" s="83" t="e">
        <f>#REF!-#REF!</f>
        <v>#REF!</v>
      </c>
      <c r="D69" s="83" t="e">
        <f>#REF!-#REF!</f>
        <v>#REF!</v>
      </c>
      <c r="E69" s="83" t="e">
        <f>#REF!-#REF!</f>
        <v>#REF!</v>
      </c>
      <c r="F69" s="83" t="e">
        <f>#REF!-#REF!</f>
        <v>#REF!</v>
      </c>
      <c r="G69" s="83" t="e">
        <f>#REF!-#REF!</f>
        <v>#REF!</v>
      </c>
      <c r="H69" s="83"/>
      <c r="I69" s="83" t="e">
        <f>#REF!-#REF!</f>
        <v>#REF!</v>
      </c>
      <c r="J69" s="18" t="e">
        <f>#REF!-#REF!</f>
        <v>#REF!</v>
      </c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444"/>
      <c r="AL69" s="444"/>
      <c r="AM69" s="444"/>
      <c r="AN69" s="444"/>
      <c r="AO69" s="444"/>
      <c r="AP69" s="444"/>
      <c r="AQ69" s="444"/>
      <c r="AR69" s="444"/>
      <c r="AS69" s="444"/>
      <c r="AT69" s="444"/>
      <c r="AU69" s="444"/>
      <c r="AV69" s="444"/>
      <c r="AW69" s="444"/>
      <c r="AX69" s="444"/>
      <c r="AY69" s="444"/>
      <c r="AZ69" s="444"/>
      <c r="BA69" s="444"/>
      <c r="BB69" s="444"/>
      <c r="BC69" s="444"/>
      <c r="BD69" s="444"/>
      <c r="BE69" s="444"/>
      <c r="BF69" s="444"/>
      <c r="BG69" s="444"/>
      <c r="BH69" s="444"/>
      <c r="BI69" s="444"/>
      <c r="BJ69" s="444"/>
      <c r="BK69" s="444"/>
      <c r="BL69" s="444"/>
      <c r="BM69" s="444"/>
      <c r="BN69" s="444"/>
      <c r="BO69" s="444"/>
      <c r="BP69" s="444"/>
      <c r="BQ69" s="444"/>
      <c r="BR69" s="444"/>
      <c r="BS69" s="444"/>
      <c r="BT69" s="444"/>
      <c r="BU69" s="444"/>
      <c r="BV69" s="444"/>
      <c r="BW69" s="444"/>
      <c r="BX69" s="444"/>
      <c r="BY69" s="444"/>
      <c r="BZ69" s="444"/>
      <c r="CA69" s="444"/>
      <c r="CB69" s="444"/>
      <c r="CC69" s="444"/>
      <c r="CD69" s="444"/>
      <c r="CE69" s="444"/>
      <c r="CF69" s="444"/>
    </row>
    <row r="70" spans="1:84" s="1" customFormat="1" ht="16.5" hidden="1" thickBot="1">
      <c r="A70" s="77"/>
      <c r="B70" s="81" t="s">
        <v>25</v>
      </c>
      <c r="C70" s="83" t="e">
        <f>#REF!</f>
        <v>#REF!</v>
      </c>
      <c r="D70" s="83" t="e">
        <f>#REF!</f>
        <v>#REF!</v>
      </c>
      <c r="E70" s="83" t="e">
        <f>#REF!</f>
        <v>#REF!</v>
      </c>
      <c r="F70" s="83" t="e">
        <f>#REF!</f>
        <v>#REF!</v>
      </c>
      <c r="G70" s="83" t="e">
        <f>#REF!</f>
        <v>#REF!</v>
      </c>
      <c r="H70" s="83"/>
      <c r="I70" s="83" t="e">
        <f>#REF!</f>
        <v>#REF!</v>
      </c>
      <c r="J70" s="18" t="e">
        <f>#REF!</f>
        <v>#REF!</v>
      </c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444"/>
      <c r="AL70" s="444"/>
      <c r="AM70" s="444"/>
      <c r="AN70" s="444"/>
      <c r="AO70" s="444"/>
      <c r="AP70" s="444"/>
      <c r="AQ70" s="444"/>
      <c r="AR70" s="444"/>
      <c r="AS70" s="444"/>
      <c r="AT70" s="444"/>
      <c r="AU70" s="444"/>
      <c r="AV70" s="444"/>
      <c r="AW70" s="444"/>
      <c r="AX70" s="444"/>
      <c r="AY70" s="444"/>
      <c r="AZ70" s="444"/>
      <c r="BA70" s="444"/>
      <c r="BB70" s="444"/>
      <c r="BC70" s="444"/>
      <c r="BD70" s="444"/>
      <c r="BE70" s="444"/>
      <c r="BF70" s="444"/>
      <c r="BG70" s="444"/>
      <c r="BH70" s="444"/>
      <c r="BI70" s="444"/>
      <c r="BJ70" s="444"/>
      <c r="BK70" s="444"/>
      <c r="BL70" s="444"/>
      <c r="BM70" s="444"/>
      <c r="BN70" s="444"/>
      <c r="BO70" s="444"/>
      <c r="BP70" s="444"/>
      <c r="BQ70" s="444"/>
      <c r="BR70" s="444"/>
      <c r="BS70" s="444"/>
      <c r="BT70" s="444"/>
      <c r="BU70" s="444"/>
      <c r="BV70" s="444"/>
      <c r="BW70" s="444"/>
      <c r="BX70" s="444"/>
      <c r="BY70" s="444"/>
      <c r="BZ70" s="444"/>
      <c r="CA70" s="444"/>
      <c r="CB70" s="444"/>
      <c r="CC70" s="444"/>
      <c r="CD70" s="444"/>
      <c r="CE70" s="444"/>
      <c r="CF70" s="444"/>
    </row>
    <row r="71" spans="1:84" s="1" customFormat="1" ht="16.5" hidden="1" thickBot="1">
      <c r="A71" s="77"/>
      <c r="B71" s="81" t="s">
        <v>26</v>
      </c>
      <c r="C71" s="83" t="e">
        <f>#REF!</f>
        <v>#REF!</v>
      </c>
      <c r="D71" s="83" t="e">
        <f>#REF!</f>
        <v>#REF!</v>
      </c>
      <c r="E71" s="83" t="e">
        <f>#REF!</f>
        <v>#REF!</v>
      </c>
      <c r="F71" s="83" t="e">
        <f>#REF!</f>
        <v>#REF!</v>
      </c>
      <c r="G71" s="83" t="e">
        <f>#REF!</f>
        <v>#REF!</v>
      </c>
      <c r="H71" s="83"/>
      <c r="I71" s="83" t="e">
        <f>#REF!</f>
        <v>#REF!</v>
      </c>
      <c r="J71" s="18" t="e">
        <f>#REF!</f>
        <v>#REF!</v>
      </c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44"/>
      <c r="AO71" s="444"/>
      <c r="AP71" s="444"/>
      <c r="AQ71" s="444"/>
      <c r="AR71" s="444"/>
      <c r="AS71" s="444"/>
      <c r="AT71" s="444"/>
      <c r="AU71" s="444"/>
      <c r="AV71" s="444"/>
      <c r="AW71" s="444"/>
      <c r="AX71" s="444"/>
      <c r="AY71" s="444"/>
      <c r="AZ71" s="444"/>
      <c r="BA71" s="444"/>
      <c r="BB71" s="444"/>
      <c r="BC71" s="444"/>
      <c r="BD71" s="444"/>
      <c r="BE71" s="444"/>
      <c r="BF71" s="444"/>
      <c r="BG71" s="444"/>
      <c r="BH71" s="444"/>
      <c r="BI71" s="444"/>
      <c r="BJ71" s="444"/>
      <c r="BK71" s="444"/>
      <c r="BL71" s="444"/>
      <c r="BM71" s="444"/>
      <c r="BN71" s="444"/>
      <c r="BO71" s="444"/>
      <c r="BP71" s="444"/>
      <c r="BQ71" s="444"/>
      <c r="BR71" s="444"/>
      <c r="BS71" s="444"/>
      <c r="BT71" s="444"/>
      <c r="BU71" s="444"/>
      <c r="BV71" s="444"/>
      <c r="BW71" s="444"/>
      <c r="BX71" s="444"/>
      <c r="BY71" s="444"/>
      <c r="BZ71" s="444"/>
      <c r="CA71" s="444"/>
      <c r="CB71" s="444"/>
      <c r="CC71" s="444"/>
      <c r="CD71" s="444"/>
      <c r="CE71" s="444"/>
      <c r="CF71" s="444"/>
    </row>
    <row r="72" spans="1:84" s="1" customFormat="1" ht="16.5" hidden="1" thickBot="1">
      <c r="A72" s="77"/>
      <c r="B72" s="81" t="s">
        <v>27</v>
      </c>
      <c r="C72" s="83" t="e">
        <f>#REF!</f>
        <v>#REF!</v>
      </c>
      <c r="D72" s="83" t="e">
        <f>#REF!</f>
        <v>#REF!</v>
      </c>
      <c r="E72" s="83" t="e">
        <f>#REF!</f>
        <v>#REF!</v>
      </c>
      <c r="F72" s="83" t="e">
        <f>#REF!</f>
        <v>#REF!</v>
      </c>
      <c r="G72" s="83" t="e">
        <f>#REF!</f>
        <v>#REF!</v>
      </c>
      <c r="H72" s="83"/>
      <c r="I72" s="83" t="e">
        <f>#REF!</f>
        <v>#REF!</v>
      </c>
      <c r="J72" s="18" t="e">
        <f>#REF!</f>
        <v>#REF!</v>
      </c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4"/>
      <c r="AK72" s="444"/>
      <c r="AL72" s="444"/>
      <c r="AM72" s="444"/>
      <c r="AN72" s="444"/>
      <c r="AO72" s="444"/>
      <c r="AP72" s="444"/>
      <c r="AQ72" s="444"/>
      <c r="AR72" s="444"/>
      <c r="AS72" s="444"/>
      <c r="AT72" s="444"/>
      <c r="AU72" s="444"/>
      <c r="AV72" s="444"/>
      <c r="AW72" s="444"/>
      <c r="AX72" s="444"/>
      <c r="AY72" s="444"/>
      <c r="AZ72" s="444"/>
      <c r="BA72" s="444"/>
      <c r="BB72" s="444"/>
      <c r="BC72" s="444"/>
      <c r="BD72" s="444"/>
      <c r="BE72" s="444"/>
      <c r="BF72" s="444"/>
      <c r="BG72" s="444"/>
      <c r="BH72" s="444"/>
      <c r="BI72" s="444"/>
      <c r="BJ72" s="444"/>
      <c r="BK72" s="444"/>
      <c r="BL72" s="444"/>
      <c r="BM72" s="444"/>
      <c r="BN72" s="444"/>
      <c r="BO72" s="444"/>
      <c r="BP72" s="444"/>
      <c r="BQ72" s="444"/>
      <c r="BR72" s="444"/>
      <c r="BS72" s="444"/>
      <c r="BT72" s="444"/>
      <c r="BU72" s="444"/>
      <c r="BV72" s="444"/>
      <c r="BW72" s="444"/>
      <c r="BX72" s="444"/>
      <c r="BY72" s="444"/>
      <c r="BZ72" s="444"/>
      <c r="CA72" s="444"/>
      <c r="CB72" s="444"/>
      <c r="CC72" s="444"/>
      <c r="CD72" s="444"/>
      <c r="CE72" s="444"/>
      <c r="CF72" s="444"/>
    </row>
    <row r="73" spans="1:84" s="1" customFormat="1" ht="16.5" hidden="1" thickBot="1">
      <c r="A73" s="77"/>
      <c r="B73" s="81" t="s">
        <v>28</v>
      </c>
      <c r="C73" s="83">
        <f>C30</f>
        <v>0</v>
      </c>
      <c r="D73" s="83">
        <f aca="true" t="shared" si="3" ref="D73:J73">D30</f>
        <v>0</v>
      </c>
      <c r="E73" s="83">
        <f t="shared" si="3"/>
        <v>0</v>
      </c>
      <c r="F73" s="83">
        <f t="shared" si="3"/>
        <v>0</v>
      </c>
      <c r="G73" s="83">
        <f t="shared" si="3"/>
        <v>0</v>
      </c>
      <c r="H73" s="83"/>
      <c r="I73" s="83">
        <f t="shared" si="3"/>
        <v>0</v>
      </c>
      <c r="J73" s="18">
        <f t="shared" si="3"/>
        <v>0</v>
      </c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4"/>
      <c r="AV73" s="444"/>
      <c r="AW73" s="444"/>
      <c r="AX73" s="444"/>
      <c r="AY73" s="444"/>
      <c r="AZ73" s="444"/>
      <c r="BA73" s="444"/>
      <c r="BB73" s="444"/>
      <c r="BC73" s="444"/>
      <c r="BD73" s="444"/>
      <c r="BE73" s="444"/>
      <c r="BF73" s="444"/>
      <c r="BG73" s="444"/>
      <c r="BH73" s="444"/>
      <c r="BI73" s="444"/>
      <c r="BJ73" s="444"/>
      <c r="BK73" s="444"/>
      <c r="BL73" s="444"/>
      <c r="BM73" s="444"/>
      <c r="BN73" s="444"/>
      <c r="BO73" s="444"/>
      <c r="BP73" s="444"/>
      <c r="BQ73" s="444"/>
      <c r="BR73" s="444"/>
      <c r="BS73" s="444"/>
      <c r="BT73" s="444"/>
      <c r="BU73" s="444"/>
      <c r="BV73" s="444"/>
      <c r="BW73" s="444"/>
      <c r="BX73" s="444"/>
      <c r="BY73" s="444"/>
      <c r="BZ73" s="444"/>
      <c r="CA73" s="444"/>
      <c r="CB73" s="444"/>
      <c r="CC73" s="444"/>
      <c r="CD73" s="444"/>
      <c r="CE73" s="444"/>
      <c r="CF73" s="444"/>
    </row>
    <row r="74" spans="1:84" s="1" customFormat="1" ht="16.5" hidden="1" thickBot="1">
      <c r="A74" s="77"/>
      <c r="B74" s="81" t="s">
        <v>29</v>
      </c>
      <c r="C74" s="83" t="e">
        <f>#REF!+#REF!+C55+C56+C57+#REF!+C59+C60+C44+#REF!</f>
        <v>#REF!</v>
      </c>
      <c r="D74" s="83" t="e">
        <f>#REF!+#REF!+D55+D56+D57+#REF!+D59+D60+D44+#REF!</f>
        <v>#REF!</v>
      </c>
      <c r="E74" s="83" t="e">
        <f>#REF!+#REF!+E55+E56+E57+#REF!+E59+E60+E44+#REF!</f>
        <v>#REF!</v>
      </c>
      <c r="F74" s="83" t="e">
        <f>#REF!+#REF!+F55+F56+F57+#REF!+F59+F60+F44+#REF!</f>
        <v>#REF!</v>
      </c>
      <c r="G74" s="83" t="e">
        <f>#REF!+#REF!+G55+G56+G57+#REF!+G59+G60+G44+#REF!</f>
        <v>#REF!</v>
      </c>
      <c r="H74" s="83"/>
      <c r="I74" s="83" t="e">
        <f>#REF!+#REF!+I55+I56+I57+#REF!+I59+I60+I44+#REF!</f>
        <v>#REF!</v>
      </c>
      <c r="J74" s="18" t="e">
        <f>#REF!+#REF!+J55+J56+J57+#REF!+J59+J60</f>
        <v>#REF!</v>
      </c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4"/>
      <c r="BD74" s="444"/>
      <c r="BE74" s="444"/>
      <c r="BF74" s="444"/>
      <c r="BG74" s="444"/>
      <c r="BH74" s="444"/>
      <c r="BI74" s="444"/>
      <c r="BJ74" s="444"/>
      <c r="BK74" s="444"/>
      <c r="BL74" s="444"/>
      <c r="BM74" s="444"/>
      <c r="BN74" s="444"/>
      <c r="BO74" s="444"/>
      <c r="BP74" s="444"/>
      <c r="BQ74" s="444"/>
      <c r="BR74" s="444"/>
      <c r="BS74" s="444"/>
      <c r="BT74" s="444"/>
      <c r="BU74" s="444"/>
      <c r="BV74" s="444"/>
      <c r="BW74" s="444"/>
      <c r="BX74" s="444"/>
      <c r="BY74" s="444"/>
      <c r="BZ74" s="444"/>
      <c r="CA74" s="444"/>
      <c r="CB74" s="444"/>
      <c r="CC74" s="444"/>
      <c r="CD74" s="444"/>
      <c r="CE74" s="444"/>
      <c r="CF74" s="444"/>
    </row>
    <row r="75" spans="1:84" s="1" customFormat="1" ht="16.5" hidden="1" thickBot="1">
      <c r="A75" s="77"/>
      <c r="B75" s="81" t="s">
        <v>30</v>
      </c>
      <c r="C75" s="83" t="e">
        <f>#REF!+#REF!</f>
        <v>#REF!</v>
      </c>
      <c r="D75" s="83" t="e">
        <f>#REF!+#REF!</f>
        <v>#REF!</v>
      </c>
      <c r="E75" s="83" t="e">
        <f>#REF!+#REF!</f>
        <v>#REF!</v>
      </c>
      <c r="F75" s="83" t="e">
        <f>#REF!+#REF!</f>
        <v>#REF!</v>
      </c>
      <c r="G75" s="83" t="e">
        <f>#REF!+#REF!</f>
        <v>#REF!</v>
      </c>
      <c r="H75" s="83"/>
      <c r="I75" s="83" t="e">
        <f>#REF!+#REF!</f>
        <v>#REF!</v>
      </c>
      <c r="J75" s="18" t="e">
        <f>#REF!+#REF!</f>
        <v>#REF!</v>
      </c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44"/>
      <c r="AO75" s="444"/>
      <c r="AP75" s="444"/>
      <c r="AQ75" s="444"/>
      <c r="AR75" s="444"/>
      <c r="AS75" s="444"/>
      <c r="AT75" s="444"/>
      <c r="AU75" s="444"/>
      <c r="AV75" s="444"/>
      <c r="AW75" s="444"/>
      <c r="AX75" s="444"/>
      <c r="AY75" s="444"/>
      <c r="AZ75" s="444"/>
      <c r="BA75" s="444"/>
      <c r="BB75" s="444"/>
      <c r="BC75" s="444"/>
      <c r="BD75" s="444"/>
      <c r="BE75" s="444"/>
      <c r="BF75" s="444"/>
      <c r="BG75" s="444"/>
      <c r="BH75" s="444"/>
      <c r="BI75" s="444"/>
      <c r="BJ75" s="444"/>
      <c r="BK75" s="444"/>
      <c r="BL75" s="444"/>
      <c r="BM75" s="444"/>
      <c r="BN75" s="444"/>
      <c r="BO75" s="444"/>
      <c r="BP75" s="444"/>
      <c r="BQ75" s="444"/>
      <c r="BR75" s="444"/>
      <c r="BS75" s="444"/>
      <c r="BT75" s="444"/>
      <c r="BU75" s="444"/>
      <c r="BV75" s="444"/>
      <c r="BW75" s="444"/>
      <c r="BX75" s="444"/>
      <c r="BY75" s="444"/>
      <c r="BZ75" s="444"/>
      <c r="CA75" s="444"/>
      <c r="CB75" s="444"/>
      <c r="CC75" s="444"/>
      <c r="CD75" s="444"/>
      <c r="CE75" s="444"/>
      <c r="CF75" s="444"/>
    </row>
    <row r="76" spans="1:84" s="1" customFormat="1" ht="16.5" hidden="1" thickBot="1">
      <c r="A76" s="77"/>
      <c r="B76" s="81" t="s">
        <v>31</v>
      </c>
      <c r="C76" s="83">
        <f>C51+C54</f>
        <v>1983511.06</v>
      </c>
      <c r="D76" s="83">
        <f>D51+D54</f>
        <v>997874.34</v>
      </c>
      <c r="E76" s="83">
        <f>E51+E54</f>
        <v>918850</v>
      </c>
      <c r="F76" s="83">
        <f>F51+F54</f>
        <v>478500.37</v>
      </c>
      <c r="G76" s="83">
        <f>G51+G54</f>
        <v>313717.2164134743</v>
      </c>
      <c r="H76" s="83"/>
      <c r="I76" s="83">
        <f>I51+I54</f>
        <v>136256.82799848137</v>
      </c>
      <c r="J76" s="18">
        <f>J51+J54</f>
        <v>0</v>
      </c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4"/>
      <c r="AI76" s="444"/>
      <c r="AJ76" s="444"/>
      <c r="AK76" s="444"/>
      <c r="AL76" s="444"/>
      <c r="AM76" s="444"/>
      <c r="AN76" s="444"/>
      <c r="AO76" s="444"/>
      <c r="AP76" s="444"/>
      <c r="AQ76" s="444"/>
      <c r="AR76" s="444"/>
      <c r="AS76" s="444"/>
      <c r="AT76" s="444"/>
      <c r="AU76" s="444"/>
      <c r="AV76" s="444"/>
      <c r="AW76" s="444"/>
      <c r="AX76" s="444"/>
      <c r="AY76" s="444"/>
      <c r="AZ76" s="444"/>
      <c r="BA76" s="444"/>
      <c r="BB76" s="444"/>
      <c r="BC76" s="444"/>
      <c r="BD76" s="444"/>
      <c r="BE76" s="444"/>
      <c r="BF76" s="444"/>
      <c r="BG76" s="444"/>
      <c r="BH76" s="444"/>
      <c r="BI76" s="444"/>
      <c r="BJ76" s="444"/>
      <c r="BK76" s="444"/>
      <c r="BL76" s="444"/>
      <c r="BM76" s="444"/>
      <c r="BN76" s="444"/>
      <c r="BO76" s="444"/>
      <c r="BP76" s="444"/>
      <c r="BQ76" s="444"/>
      <c r="BR76" s="444"/>
      <c r="BS76" s="444"/>
      <c r="BT76" s="444"/>
      <c r="BU76" s="444"/>
      <c r="BV76" s="444"/>
      <c r="BW76" s="444"/>
      <c r="BX76" s="444"/>
      <c r="BY76" s="444"/>
      <c r="BZ76" s="444"/>
      <c r="CA76" s="444"/>
      <c r="CB76" s="444"/>
      <c r="CC76" s="444"/>
      <c r="CD76" s="444"/>
      <c r="CE76" s="444"/>
      <c r="CF76" s="444"/>
    </row>
    <row r="77" spans="1:84" s="1" customFormat="1" ht="16.5" hidden="1" thickBot="1">
      <c r="A77" s="77"/>
      <c r="B77" s="81" t="s">
        <v>32</v>
      </c>
      <c r="C77" s="83" t="e">
        <f>#REF!</f>
        <v>#REF!</v>
      </c>
      <c r="D77" s="83" t="e">
        <f>#REF!</f>
        <v>#REF!</v>
      </c>
      <c r="E77" s="83" t="e">
        <f>#REF!</f>
        <v>#REF!</v>
      </c>
      <c r="F77" s="83" t="e">
        <f>#REF!</f>
        <v>#REF!</v>
      </c>
      <c r="G77" s="83" t="e">
        <f>#REF!</f>
        <v>#REF!</v>
      </c>
      <c r="H77" s="83"/>
      <c r="I77" s="83" t="e">
        <f>#REF!</f>
        <v>#REF!</v>
      </c>
      <c r="J77" s="18" t="e">
        <f>#REF!</f>
        <v>#REF!</v>
      </c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  <c r="AW77" s="444"/>
      <c r="AX77" s="444"/>
      <c r="AY77" s="444"/>
      <c r="AZ77" s="444"/>
      <c r="BA77" s="444"/>
      <c r="BB77" s="444"/>
      <c r="BC77" s="444"/>
      <c r="BD77" s="444"/>
      <c r="BE77" s="444"/>
      <c r="BF77" s="444"/>
      <c r="BG77" s="444"/>
      <c r="BH77" s="444"/>
      <c r="BI77" s="444"/>
      <c r="BJ77" s="444"/>
      <c r="BK77" s="444"/>
      <c r="BL77" s="444"/>
      <c r="BM77" s="444"/>
      <c r="BN77" s="444"/>
      <c r="BO77" s="444"/>
      <c r="BP77" s="444"/>
      <c r="BQ77" s="444"/>
      <c r="BR77" s="444"/>
      <c r="BS77" s="444"/>
      <c r="BT77" s="444"/>
      <c r="BU77" s="444"/>
      <c r="BV77" s="444"/>
      <c r="BW77" s="444"/>
      <c r="BX77" s="444"/>
      <c r="BY77" s="444"/>
      <c r="BZ77" s="444"/>
      <c r="CA77" s="444"/>
      <c r="CB77" s="444"/>
      <c r="CC77" s="444"/>
      <c r="CD77" s="444"/>
      <c r="CE77" s="444"/>
      <c r="CF77" s="444"/>
    </row>
    <row r="78" spans="1:84" s="1" customFormat="1" ht="16.5" hidden="1" thickBot="1">
      <c r="A78" s="77"/>
      <c r="B78" s="81" t="s">
        <v>33</v>
      </c>
      <c r="C78" s="83" t="e">
        <f>C47+#REF!+#REF!+#REF!+#REF!+#REF!+#REF!</f>
        <v>#REF!</v>
      </c>
      <c r="D78" s="83" t="e">
        <f>D47+#REF!+#REF!+#REF!+#REF!+#REF!+#REF!</f>
        <v>#REF!</v>
      </c>
      <c r="E78" s="83" t="e">
        <f>E47+#REF!+#REF!+#REF!+#REF!+#REF!+#REF!</f>
        <v>#REF!</v>
      </c>
      <c r="F78" s="83" t="e">
        <f>F47+#REF!+#REF!+#REF!+#REF!+#REF!+#REF!</f>
        <v>#REF!</v>
      </c>
      <c r="G78" s="83" t="e">
        <f>G47+#REF!+#REF!+#REF!+#REF!+#REF!+#REF!</f>
        <v>#REF!</v>
      </c>
      <c r="H78" s="83"/>
      <c r="I78" s="83" t="e">
        <f>I47+#REF!+#REF!+#REF!+#REF!+#REF!+#REF!</f>
        <v>#REF!</v>
      </c>
      <c r="J78" s="18" t="e">
        <f>J47+#REF!+#REF!+#REF!+#REF!+#REF!+#REF!</f>
        <v>#REF!</v>
      </c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Q78" s="444"/>
      <c r="AR78" s="444"/>
      <c r="AS78" s="444"/>
      <c r="AT78" s="444"/>
      <c r="AU78" s="444"/>
      <c r="AV78" s="444"/>
      <c r="AW78" s="444"/>
      <c r="AX78" s="444"/>
      <c r="AY78" s="444"/>
      <c r="AZ78" s="444"/>
      <c r="BA78" s="444"/>
      <c r="BB78" s="444"/>
      <c r="BC78" s="444"/>
      <c r="BD78" s="444"/>
      <c r="BE78" s="444"/>
      <c r="BF78" s="444"/>
      <c r="BG78" s="444"/>
      <c r="BH78" s="444"/>
      <c r="BI78" s="444"/>
      <c r="BJ78" s="444"/>
      <c r="BK78" s="444"/>
      <c r="BL78" s="444"/>
      <c r="BM78" s="444"/>
      <c r="BN78" s="444"/>
      <c r="BO78" s="444"/>
      <c r="BP78" s="444"/>
      <c r="BQ78" s="444"/>
      <c r="BR78" s="444"/>
      <c r="BS78" s="444"/>
      <c r="BT78" s="444"/>
      <c r="BU78" s="444"/>
      <c r="BV78" s="444"/>
      <c r="BW78" s="444"/>
      <c r="BX78" s="444"/>
      <c r="BY78" s="444"/>
      <c r="BZ78" s="444"/>
      <c r="CA78" s="444"/>
      <c r="CB78" s="444"/>
      <c r="CC78" s="444"/>
      <c r="CD78" s="444"/>
      <c r="CE78" s="444"/>
      <c r="CF78" s="444"/>
    </row>
    <row r="79" spans="1:84" s="1" customFormat="1" ht="16.5" hidden="1" thickBot="1">
      <c r="A79" s="77"/>
      <c r="B79" s="81" t="s">
        <v>39</v>
      </c>
      <c r="C79" s="83" t="e">
        <f>#REF!</f>
        <v>#REF!</v>
      </c>
      <c r="D79" s="83" t="e">
        <f>#REF!</f>
        <v>#REF!</v>
      </c>
      <c r="E79" s="83" t="e">
        <f>#REF!</f>
        <v>#REF!</v>
      </c>
      <c r="F79" s="83" t="e">
        <f>#REF!</f>
        <v>#REF!</v>
      </c>
      <c r="G79" s="83" t="e">
        <f>#REF!</f>
        <v>#REF!</v>
      </c>
      <c r="H79" s="83"/>
      <c r="I79" s="83" t="e">
        <f>#REF!</f>
        <v>#REF!</v>
      </c>
      <c r="J79" s="18" t="e">
        <f>#REF!</f>
        <v>#REF!</v>
      </c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4"/>
      <c r="AJ79" s="444"/>
      <c r="AK79" s="444"/>
      <c r="AL79" s="444"/>
      <c r="AM79" s="444"/>
      <c r="AN79" s="444"/>
      <c r="AO79" s="444"/>
      <c r="AP79" s="444"/>
      <c r="AQ79" s="444"/>
      <c r="AR79" s="444"/>
      <c r="AS79" s="444"/>
      <c r="AT79" s="444"/>
      <c r="AU79" s="444"/>
      <c r="AV79" s="444"/>
      <c r="AW79" s="444"/>
      <c r="AX79" s="444"/>
      <c r="AY79" s="444"/>
      <c r="AZ79" s="444"/>
      <c r="BA79" s="444"/>
      <c r="BB79" s="444"/>
      <c r="BC79" s="444"/>
      <c r="BD79" s="444"/>
      <c r="BE79" s="444"/>
      <c r="BF79" s="444"/>
      <c r="BG79" s="444"/>
      <c r="BH79" s="444"/>
      <c r="BI79" s="444"/>
      <c r="BJ79" s="444"/>
      <c r="BK79" s="444"/>
      <c r="BL79" s="444"/>
      <c r="BM79" s="444"/>
      <c r="BN79" s="444"/>
      <c r="BO79" s="444"/>
      <c r="BP79" s="444"/>
      <c r="BQ79" s="444"/>
      <c r="BR79" s="444"/>
      <c r="BS79" s="444"/>
      <c r="BT79" s="444"/>
      <c r="BU79" s="444"/>
      <c r="BV79" s="444"/>
      <c r="BW79" s="444"/>
      <c r="BX79" s="444"/>
      <c r="BY79" s="444"/>
      <c r="BZ79" s="444"/>
      <c r="CA79" s="444"/>
      <c r="CB79" s="444"/>
      <c r="CC79" s="444"/>
      <c r="CD79" s="444"/>
      <c r="CE79" s="444"/>
      <c r="CF79" s="444"/>
    </row>
    <row r="80" spans="1:84" s="1" customFormat="1" ht="16.5" hidden="1" thickBot="1">
      <c r="A80" s="77"/>
      <c r="B80" s="81" t="s">
        <v>34</v>
      </c>
      <c r="C80" s="83" t="e">
        <f>#REF!+#REF!</f>
        <v>#REF!</v>
      </c>
      <c r="D80" s="83" t="e">
        <f>#REF!+#REF!</f>
        <v>#REF!</v>
      </c>
      <c r="E80" s="83" t="e">
        <f>#REF!+#REF!</f>
        <v>#REF!</v>
      </c>
      <c r="F80" s="83" t="e">
        <f>#REF!+#REF!</f>
        <v>#REF!</v>
      </c>
      <c r="G80" s="83" t="e">
        <f>#REF!+#REF!</f>
        <v>#REF!</v>
      </c>
      <c r="H80" s="83"/>
      <c r="I80" s="83" t="e">
        <f>#REF!+#REF!</f>
        <v>#REF!</v>
      </c>
      <c r="J80" s="18" t="e">
        <f>#REF!+#REF!</f>
        <v>#REF!</v>
      </c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4"/>
      <c r="AK80" s="444"/>
      <c r="AL80" s="444"/>
      <c r="AM80" s="444"/>
      <c r="AN80" s="444"/>
      <c r="AO80" s="444"/>
      <c r="AP80" s="444"/>
      <c r="AQ80" s="444"/>
      <c r="AR80" s="444"/>
      <c r="AS80" s="444"/>
      <c r="AT80" s="444"/>
      <c r="AU80" s="444"/>
      <c r="AV80" s="444"/>
      <c r="AW80" s="444"/>
      <c r="AX80" s="444"/>
      <c r="AY80" s="444"/>
      <c r="AZ80" s="444"/>
      <c r="BA80" s="444"/>
      <c r="BB80" s="444"/>
      <c r="BC80" s="444"/>
      <c r="BD80" s="444"/>
      <c r="BE80" s="444"/>
      <c r="BF80" s="444"/>
      <c r="BG80" s="444"/>
      <c r="BH80" s="444"/>
      <c r="BI80" s="444"/>
      <c r="BJ80" s="444"/>
      <c r="BK80" s="444"/>
      <c r="BL80" s="444"/>
      <c r="BM80" s="444"/>
      <c r="BN80" s="444"/>
      <c r="BO80" s="444"/>
      <c r="BP80" s="444"/>
      <c r="BQ80" s="444"/>
      <c r="BR80" s="444"/>
      <c r="BS80" s="444"/>
      <c r="BT80" s="444"/>
      <c r="BU80" s="444"/>
      <c r="BV80" s="444"/>
      <c r="BW80" s="444"/>
      <c r="BX80" s="444"/>
      <c r="BY80" s="444"/>
      <c r="BZ80" s="444"/>
      <c r="CA80" s="444"/>
      <c r="CB80" s="444"/>
      <c r="CC80" s="444"/>
      <c r="CD80" s="444"/>
      <c r="CE80" s="444"/>
      <c r="CF80" s="444"/>
    </row>
    <row r="81" spans="1:84" s="1" customFormat="1" ht="16.5" hidden="1" thickBot="1">
      <c r="A81" s="77"/>
      <c r="B81" s="81" t="s">
        <v>35</v>
      </c>
      <c r="C81" s="83" t="e">
        <f>#REF!+#REF!</f>
        <v>#REF!</v>
      </c>
      <c r="D81" s="83" t="e">
        <f>#REF!+#REF!</f>
        <v>#REF!</v>
      </c>
      <c r="E81" s="83" t="e">
        <f>#REF!+#REF!</f>
        <v>#REF!</v>
      </c>
      <c r="F81" s="83" t="e">
        <f>#REF!+#REF!</f>
        <v>#REF!</v>
      </c>
      <c r="G81" s="83" t="e">
        <f>#REF!+#REF!</f>
        <v>#REF!</v>
      </c>
      <c r="H81" s="83"/>
      <c r="I81" s="83" t="e">
        <f>#REF!+#REF!</f>
        <v>#REF!</v>
      </c>
      <c r="J81" s="18" t="e">
        <f>#REF!+#REF!</f>
        <v>#REF!</v>
      </c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4"/>
      <c r="AJ81" s="444"/>
      <c r="AK81" s="444"/>
      <c r="AL81" s="444"/>
      <c r="AM81" s="444"/>
      <c r="AN81" s="444"/>
      <c r="AO81" s="444"/>
      <c r="AP81" s="444"/>
      <c r="AQ81" s="444"/>
      <c r="AR81" s="444"/>
      <c r="AS81" s="444"/>
      <c r="AT81" s="444"/>
      <c r="AU81" s="444"/>
      <c r="AV81" s="444"/>
      <c r="AW81" s="444"/>
      <c r="AX81" s="444"/>
      <c r="AY81" s="444"/>
      <c r="AZ81" s="444"/>
      <c r="BA81" s="444"/>
      <c r="BB81" s="444"/>
      <c r="BC81" s="444"/>
      <c r="BD81" s="444"/>
      <c r="BE81" s="444"/>
      <c r="BF81" s="444"/>
      <c r="BG81" s="444"/>
      <c r="BH81" s="444"/>
      <c r="BI81" s="444"/>
      <c r="BJ81" s="444"/>
      <c r="BK81" s="444"/>
      <c r="BL81" s="444"/>
      <c r="BM81" s="444"/>
      <c r="BN81" s="444"/>
      <c r="BO81" s="444"/>
      <c r="BP81" s="444"/>
      <c r="BQ81" s="444"/>
      <c r="BR81" s="444"/>
      <c r="BS81" s="444"/>
      <c r="BT81" s="444"/>
      <c r="BU81" s="444"/>
      <c r="BV81" s="444"/>
      <c r="BW81" s="444"/>
      <c r="BX81" s="444"/>
      <c r="BY81" s="444"/>
      <c r="BZ81" s="444"/>
      <c r="CA81" s="444"/>
      <c r="CB81" s="444"/>
      <c r="CC81" s="444"/>
      <c r="CD81" s="444"/>
      <c r="CE81" s="444"/>
      <c r="CF81" s="444"/>
    </row>
    <row r="82" spans="1:84" s="1" customFormat="1" ht="16.5" hidden="1" thickBot="1">
      <c r="A82" s="77"/>
      <c r="B82" s="81" t="s">
        <v>36</v>
      </c>
      <c r="C82" s="83" t="e">
        <f>C80+C81</f>
        <v>#REF!</v>
      </c>
      <c r="D82" s="83" t="e">
        <f aca="true" t="shared" si="4" ref="D82:J82">D80+D81</f>
        <v>#REF!</v>
      </c>
      <c r="E82" s="83" t="e">
        <f t="shared" si="4"/>
        <v>#REF!</v>
      </c>
      <c r="F82" s="83" t="e">
        <f t="shared" si="4"/>
        <v>#REF!</v>
      </c>
      <c r="G82" s="83" t="e">
        <f t="shared" si="4"/>
        <v>#REF!</v>
      </c>
      <c r="H82" s="83"/>
      <c r="I82" s="83" t="e">
        <f t="shared" si="4"/>
        <v>#REF!</v>
      </c>
      <c r="J82" s="18" t="e">
        <f t="shared" si="4"/>
        <v>#REF!</v>
      </c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  <c r="AQ82" s="444"/>
      <c r="AR82" s="444"/>
      <c r="AS82" s="444"/>
      <c r="AT82" s="444"/>
      <c r="AU82" s="444"/>
      <c r="AV82" s="444"/>
      <c r="AW82" s="444"/>
      <c r="AX82" s="444"/>
      <c r="AY82" s="444"/>
      <c r="AZ82" s="444"/>
      <c r="BA82" s="444"/>
      <c r="BB82" s="444"/>
      <c r="BC82" s="444"/>
      <c r="BD82" s="444"/>
      <c r="BE82" s="444"/>
      <c r="BF82" s="444"/>
      <c r="BG82" s="444"/>
      <c r="BH82" s="444"/>
      <c r="BI82" s="444"/>
      <c r="BJ82" s="444"/>
      <c r="BK82" s="444"/>
      <c r="BL82" s="444"/>
      <c r="BM82" s="444"/>
      <c r="BN82" s="444"/>
      <c r="BO82" s="444"/>
      <c r="BP82" s="444"/>
      <c r="BQ82" s="444"/>
      <c r="BR82" s="444"/>
      <c r="BS82" s="444"/>
      <c r="BT82" s="444"/>
      <c r="BU82" s="444"/>
      <c r="BV82" s="444"/>
      <c r="BW82" s="444"/>
      <c r="BX82" s="444"/>
      <c r="BY82" s="444"/>
      <c r="BZ82" s="444"/>
      <c r="CA82" s="444"/>
      <c r="CB82" s="444"/>
      <c r="CC82" s="444"/>
      <c r="CD82" s="444"/>
      <c r="CE82" s="444"/>
      <c r="CF82" s="444"/>
    </row>
    <row r="83" spans="1:84" s="1" customFormat="1" ht="16.5" hidden="1" thickBot="1">
      <c r="A83" s="77"/>
      <c r="B83" s="81" t="s">
        <v>37</v>
      </c>
      <c r="C83" s="83" t="e">
        <f>((C8+C28)-(C67)-((#REF!+#REF!)-C82))</f>
        <v>#REF!</v>
      </c>
      <c r="D83" s="83" t="e">
        <f>((D8+D28)-(D67)-((#REF!+#REF!)-D82))</f>
        <v>#REF!</v>
      </c>
      <c r="E83" s="83" t="e">
        <f>((E8+E28)-(E67)-((#REF!+#REF!)-E82))</f>
        <v>#REF!</v>
      </c>
      <c r="F83" s="83" t="e">
        <f>((F8+F28)-(F67)-((#REF!+#REF!)-F82))</f>
        <v>#REF!</v>
      </c>
      <c r="G83" s="83" t="e">
        <f>((G8+G28)-(G67)-((#REF!+#REF!)-G82))</f>
        <v>#REF!</v>
      </c>
      <c r="H83" s="83"/>
      <c r="I83" s="83" t="e">
        <f>((I8+I28)-(I67)-((#REF!+#REF!)-I82))</f>
        <v>#REF!</v>
      </c>
      <c r="J83" s="18" t="e">
        <f>((J8+J28)-(J67)-((#REF!+#REF!)-J82))</f>
        <v>#REF!</v>
      </c>
      <c r="K83" s="444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4"/>
      <c r="AJ83" s="444"/>
      <c r="AK83" s="444"/>
      <c r="AL83" s="444"/>
      <c r="AM83" s="444"/>
      <c r="AN83" s="444"/>
      <c r="AO83" s="444"/>
      <c r="AP83" s="444"/>
      <c r="AQ83" s="444"/>
      <c r="AR83" s="444"/>
      <c r="AS83" s="444"/>
      <c r="AT83" s="444"/>
      <c r="AU83" s="444"/>
      <c r="AV83" s="444"/>
      <c r="AW83" s="444"/>
      <c r="AX83" s="444"/>
      <c r="AY83" s="444"/>
      <c r="AZ83" s="444"/>
      <c r="BA83" s="444"/>
      <c r="BB83" s="444"/>
      <c r="BC83" s="444"/>
      <c r="BD83" s="444"/>
      <c r="BE83" s="444"/>
      <c r="BF83" s="444"/>
      <c r="BG83" s="444"/>
      <c r="BH83" s="444"/>
      <c r="BI83" s="444"/>
      <c r="BJ83" s="444"/>
      <c r="BK83" s="444"/>
      <c r="BL83" s="444"/>
      <c r="BM83" s="444"/>
      <c r="BN83" s="444"/>
      <c r="BO83" s="444"/>
      <c r="BP83" s="444"/>
      <c r="BQ83" s="444"/>
      <c r="BR83" s="444"/>
      <c r="BS83" s="444"/>
      <c r="BT83" s="444"/>
      <c r="BU83" s="444"/>
      <c r="BV83" s="444"/>
      <c r="BW83" s="444"/>
      <c r="BX83" s="444"/>
      <c r="BY83" s="444"/>
      <c r="BZ83" s="444"/>
      <c r="CA83" s="444"/>
      <c r="CB83" s="444"/>
      <c r="CC83" s="444"/>
      <c r="CD83" s="444"/>
      <c r="CE83" s="444"/>
      <c r="CF83" s="444"/>
    </row>
    <row r="84" spans="1:84" s="1" customFormat="1" ht="16.5" hidden="1" thickBot="1">
      <c r="A84" s="77"/>
      <c r="B84" s="84" t="s">
        <v>38</v>
      </c>
      <c r="C84" s="85" t="e">
        <f>-(C83-(C80-C19-C20-C22-#REF!))</f>
        <v>#REF!</v>
      </c>
      <c r="D84" s="85" t="e">
        <f>-(D83-(D80-D19-D20-D22-#REF!))</f>
        <v>#REF!</v>
      </c>
      <c r="E84" s="85" t="e">
        <f>-(E83-(E80-E19-E20-E22-#REF!))</f>
        <v>#REF!</v>
      </c>
      <c r="F84" s="85" t="e">
        <f>-(F83-(F80-F19-F20-F22-#REF!))</f>
        <v>#REF!</v>
      </c>
      <c r="G84" s="85" t="e">
        <f>-(G83-(G80-G19-G20-G22-#REF!))</f>
        <v>#REF!</v>
      </c>
      <c r="H84" s="85"/>
      <c r="I84" s="85" t="e">
        <f>-(I83-(I80-I19-I20-I22-#REF!))</f>
        <v>#REF!</v>
      </c>
      <c r="J84" s="19" t="e">
        <f>J83-J80</f>
        <v>#REF!</v>
      </c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  <c r="AQ84" s="444"/>
      <c r="AR84" s="444"/>
      <c r="AS84" s="444"/>
      <c r="AT84" s="444"/>
      <c r="AU84" s="444"/>
      <c r="AV84" s="444"/>
      <c r="AW84" s="444"/>
      <c r="AX84" s="444"/>
      <c r="AY84" s="444"/>
      <c r="AZ84" s="444"/>
      <c r="BA84" s="444"/>
      <c r="BB84" s="444"/>
      <c r="BC84" s="444"/>
      <c r="BD84" s="444"/>
      <c r="BE84" s="444"/>
      <c r="BF84" s="444"/>
      <c r="BG84" s="444"/>
      <c r="BH84" s="444"/>
      <c r="BI84" s="444"/>
      <c r="BJ84" s="444"/>
      <c r="BK84" s="444"/>
      <c r="BL84" s="444"/>
      <c r="BM84" s="444"/>
      <c r="BN84" s="444"/>
      <c r="BO84" s="444"/>
      <c r="BP84" s="444"/>
      <c r="BQ84" s="444"/>
      <c r="BR84" s="444"/>
      <c r="BS84" s="444"/>
      <c r="BT84" s="444"/>
      <c r="BU84" s="444"/>
      <c r="BV84" s="444"/>
      <c r="BW84" s="444"/>
      <c r="BX84" s="444"/>
      <c r="BY84" s="444"/>
      <c r="BZ84" s="444"/>
      <c r="CA84" s="444"/>
      <c r="CB84" s="444"/>
      <c r="CC84" s="444"/>
      <c r="CD84" s="444"/>
      <c r="CE84" s="444"/>
      <c r="CF84" s="444"/>
    </row>
    <row r="85" spans="1:84" s="1" customFormat="1" ht="16.5" thickTop="1">
      <c r="A85" s="77"/>
      <c r="B85" s="86"/>
      <c r="C85" s="86"/>
      <c r="D85" s="86"/>
      <c r="E85" s="86"/>
      <c r="F85" s="86"/>
      <c r="G85" s="86"/>
      <c r="H85" s="86"/>
      <c r="I85" s="86"/>
      <c r="J85" s="14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P85" s="444"/>
      <c r="AQ85" s="444"/>
      <c r="AR85" s="444"/>
      <c r="AS85" s="444"/>
      <c r="AT85" s="444"/>
      <c r="AU85" s="444"/>
      <c r="AV85" s="444"/>
      <c r="AW85" s="444"/>
      <c r="AX85" s="444"/>
      <c r="AY85" s="444"/>
      <c r="AZ85" s="444"/>
      <c r="BA85" s="444"/>
      <c r="BB85" s="444"/>
      <c r="BC85" s="444"/>
      <c r="BD85" s="444"/>
      <c r="BE85" s="444"/>
      <c r="BF85" s="444"/>
      <c r="BG85" s="444"/>
      <c r="BH85" s="444"/>
      <c r="BI85" s="444"/>
      <c r="BJ85" s="444"/>
      <c r="BK85" s="444"/>
      <c r="BL85" s="444"/>
      <c r="BM85" s="444"/>
      <c r="BN85" s="444"/>
      <c r="BO85" s="444"/>
      <c r="BP85" s="444"/>
      <c r="BQ85" s="444"/>
      <c r="BR85" s="444"/>
      <c r="BS85" s="444"/>
      <c r="BT85" s="444"/>
      <c r="BU85" s="444"/>
      <c r="BV85" s="444"/>
      <c r="BW85" s="444"/>
      <c r="BX85" s="444"/>
      <c r="BY85" s="444"/>
      <c r="BZ85" s="444"/>
      <c r="CA85" s="444"/>
      <c r="CB85" s="444"/>
      <c r="CC85" s="444"/>
      <c r="CD85" s="444"/>
      <c r="CE85" s="444"/>
      <c r="CF85" s="444"/>
    </row>
    <row r="86" spans="2:10" s="1" customFormat="1" ht="15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s="1" customFormat="1" ht="15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s="1" customFormat="1" ht="15.75">
      <c r="B88" s="15"/>
      <c r="C88" s="15"/>
      <c r="D88" s="15"/>
      <c r="E88" s="15"/>
      <c r="F88" s="15"/>
      <c r="G88" s="15"/>
      <c r="H88" s="15"/>
      <c r="I88" s="15"/>
      <c r="J88" s="15"/>
    </row>
    <row r="89" spans="2:10" s="1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1" customFormat="1" ht="15.75">
      <c r="B90" s="2"/>
      <c r="C90" s="15"/>
      <c r="D90" s="15"/>
      <c r="E90" s="15"/>
      <c r="F90" s="15"/>
      <c r="G90" s="15"/>
      <c r="H90" s="15"/>
      <c r="I90" s="15"/>
      <c r="J90" s="15"/>
    </row>
    <row r="91" spans="2:10" s="1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1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1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1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1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1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pans="2:10" s="1" customFormat="1" ht="18.75" customHeight="1">
      <c r="B97" s="15"/>
      <c r="C97" s="15"/>
      <c r="D97" s="15"/>
      <c r="E97" s="15"/>
      <c r="F97" s="15"/>
      <c r="G97" s="15"/>
      <c r="H97" s="15"/>
      <c r="I97" s="15"/>
      <c r="J97" s="15"/>
    </row>
    <row r="98" spans="2:10" s="2" customFormat="1" ht="15.75">
      <c r="B98" s="15"/>
      <c r="C98" s="15"/>
      <c r="D98" s="15"/>
      <c r="E98" s="15"/>
      <c r="F98" s="15"/>
      <c r="G98" s="15"/>
      <c r="H98" s="15"/>
      <c r="I98" s="15"/>
      <c r="J98" s="15"/>
    </row>
    <row r="99" spans="2:10" s="1" customFormat="1" ht="15.75">
      <c r="B99" s="15"/>
      <c r="C99" s="15"/>
      <c r="D99" s="15"/>
      <c r="E99" s="15"/>
      <c r="F99" s="15"/>
      <c r="G99" s="15"/>
      <c r="H99" s="15"/>
      <c r="I99" s="15"/>
      <c r="J99" s="15"/>
    </row>
    <row r="100" spans="2:10" s="1" customFormat="1" ht="15.7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s="1" customFormat="1" ht="15.7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s="1" customFormat="1" ht="15.7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s="1" customFormat="1" ht="15.7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s="8" customFormat="1" ht="15.75">
      <c r="B104" s="15"/>
      <c r="C104" s="16"/>
      <c r="D104" s="16"/>
      <c r="E104" s="16"/>
      <c r="F104" s="16"/>
      <c r="G104" s="16"/>
      <c r="H104" s="16"/>
      <c r="I104" s="16"/>
      <c r="J104" s="16"/>
    </row>
    <row r="105" spans="2:10" s="1" customFormat="1" ht="15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s="1" customFormat="1" ht="15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s="1" customFormat="1" ht="15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s="1" customFormat="1" ht="15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s="1" customFormat="1" ht="15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5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5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5.75">
      <c r="B112" s="2"/>
      <c r="C112" s="2"/>
      <c r="D112" s="2"/>
      <c r="E112" s="2"/>
      <c r="F112" s="2"/>
      <c r="G112" s="2"/>
      <c r="H112" s="2"/>
      <c r="I112" s="2"/>
      <c r="J112" s="2"/>
    </row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</sheetData>
  <sheetProtection/>
  <printOptions/>
  <pageMargins left="0.787401575" right="0.787401575" top="0.984251969" bottom="0.984251969" header="0.492125985" footer="0.492125985"/>
  <pageSetup horizontalDpi="600" verticalDpi="600" orientation="landscape" scale="38" r:id="rId1"/>
  <rowBreaks count="1" manualBreakCount="1">
    <brk id="36" max="255" man="1"/>
  </rowBreaks>
  <colBreaks count="1" manualBreakCount="1">
    <brk id="9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7:J64"/>
  <sheetViews>
    <sheetView showGridLines="0" zoomScale="120" zoomScaleNormal="120" zoomScaleSheetLayoutView="70" zoomScalePageLayoutView="0" workbookViewId="0" topLeftCell="A43">
      <selection activeCell="A8" sqref="A8:J8"/>
    </sheetView>
  </sheetViews>
  <sheetFormatPr defaultColWidth="8.8515625" defaultRowHeight="12.75"/>
  <cols>
    <col min="1" max="1" width="53.57421875" style="95" customWidth="1"/>
    <col min="2" max="2" width="16.8515625" style="95" customWidth="1"/>
    <col min="3" max="3" width="16.57421875" style="95" customWidth="1"/>
    <col min="4" max="4" width="13.00390625" style="95" customWidth="1"/>
    <col min="5" max="5" width="14.57421875" style="95" customWidth="1"/>
    <col min="6" max="6" width="15.8515625" style="95" customWidth="1"/>
    <col min="7" max="7" width="15.140625" style="95" customWidth="1"/>
    <col min="8" max="16384" width="8.8515625" style="95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455" t="s">
        <v>440</v>
      </c>
      <c r="B7" s="456"/>
      <c r="C7" s="456"/>
      <c r="D7" s="456"/>
      <c r="E7" s="456"/>
      <c r="F7" s="456"/>
      <c r="G7" s="456"/>
      <c r="H7" s="456"/>
      <c r="I7" s="456"/>
      <c r="J7" s="457"/>
    </row>
    <row r="8" spans="1:10" ht="12">
      <c r="A8" s="458" t="s">
        <v>414</v>
      </c>
      <c r="B8" s="456"/>
      <c r="C8" s="456"/>
      <c r="D8" s="456"/>
      <c r="E8" s="456"/>
      <c r="F8" s="456"/>
      <c r="G8" s="456"/>
      <c r="H8" s="456"/>
      <c r="I8" s="456"/>
      <c r="J8" s="457"/>
    </row>
    <row r="9" spans="1:10" ht="21" customHeight="1">
      <c r="A9" s="459" t="s">
        <v>276</v>
      </c>
      <c r="B9" s="460"/>
      <c r="C9" s="460"/>
      <c r="D9" s="460"/>
      <c r="E9" s="460"/>
      <c r="F9" s="460"/>
      <c r="G9" s="460"/>
      <c r="H9" s="461"/>
      <c r="I9" s="461"/>
      <c r="J9" s="462"/>
    </row>
    <row r="10" spans="1:10" ht="25.5" customHeight="1">
      <c r="A10" s="272" t="s">
        <v>217</v>
      </c>
      <c r="B10" s="272">
        <v>2015</v>
      </c>
      <c r="C10" s="272">
        <v>2016</v>
      </c>
      <c r="D10" s="272">
        <v>2017</v>
      </c>
      <c r="E10" s="272">
        <v>2018</v>
      </c>
      <c r="F10" s="272">
        <v>2019</v>
      </c>
      <c r="G10" s="272">
        <v>2020</v>
      </c>
      <c r="H10" s="104"/>
      <c r="I10" s="104"/>
      <c r="J10" s="104"/>
    </row>
    <row r="11" spans="1:7" ht="12.75">
      <c r="A11" s="273" t="s">
        <v>202</v>
      </c>
      <c r="B11" s="342">
        <v>0.1067</v>
      </c>
      <c r="C11" s="277">
        <v>0.0544</v>
      </c>
      <c r="D11" s="274">
        <v>0.0551</v>
      </c>
      <c r="E11" s="274">
        <v>0.06</v>
      </c>
      <c r="F11" s="274">
        <v>0.045</v>
      </c>
      <c r="G11" s="274">
        <v>0.045</v>
      </c>
    </row>
    <row r="12" spans="1:7" ht="12.75">
      <c r="A12" s="273" t="s">
        <v>410</v>
      </c>
      <c r="B12" s="342">
        <v>-0.038</v>
      </c>
      <c r="C12" s="277">
        <v>-0.019</v>
      </c>
      <c r="D12" s="274">
        <v>0.0091</v>
      </c>
      <c r="E12" s="274">
        <v>0.0251</v>
      </c>
      <c r="F12" s="274">
        <v>0.0259</v>
      </c>
      <c r="G12" s="274">
        <v>0.0254</v>
      </c>
    </row>
    <row r="13" spans="1:7" ht="12.75">
      <c r="A13" s="275" t="s">
        <v>203</v>
      </c>
      <c r="B13" s="335">
        <f>IF(Projeções!C41=0,"-",((Projeções!D41/Projeções!C41)-1)-B11-B17)</f>
        <v>-0.0494213148233975</v>
      </c>
      <c r="C13" s="335">
        <f>IF(Projeções!D41=0,"-",((Projeções!E41/Projeções!D41)-1)-C11-C17)</f>
        <v>0.030564813338986647</v>
      </c>
      <c r="D13" s="335">
        <f>IF(Projeções!E41=0,"-",((Projeções!F41/Projeções!E41)-1)-D11-D17)</f>
        <v>-0.1993983519102552</v>
      </c>
      <c r="E13" s="274">
        <f aca="true" t="shared" si="0" ref="E13:G18">(B13+C13+D13)/3</f>
        <v>-0.07275161779822202</v>
      </c>
      <c r="F13" s="274">
        <f t="shared" si="0"/>
        <v>-0.08052838545649686</v>
      </c>
      <c r="G13" s="274">
        <f t="shared" si="0"/>
        <v>-0.11755945172165803</v>
      </c>
    </row>
    <row r="14" spans="1:7" ht="12.75">
      <c r="A14" s="276" t="s">
        <v>204</v>
      </c>
      <c r="B14" s="335">
        <f>IF(Projeções!C47=0,"-",((Projeções!D47/Projeções!C47)-1)-B11-B12)</f>
        <v>-0.01725719203945999</v>
      </c>
      <c r="C14" s="335">
        <f>IF(Projeções!D47=0,"-",((Projeções!E47/Projeções!D47)-1)-C11-C12)</f>
        <v>-0.024117308020786054</v>
      </c>
      <c r="D14" s="335">
        <f>IF(Projeções!E47=0,"-",((Projeções!F47/Projeções!E47)-1)-D11-D12)</f>
        <v>0.02241772612674334</v>
      </c>
      <c r="E14" s="274">
        <v>0.04</v>
      </c>
      <c r="F14" s="274">
        <v>0.04</v>
      </c>
      <c r="G14" s="274">
        <v>0.04</v>
      </c>
    </row>
    <row r="15" spans="1:7" ht="12.75">
      <c r="A15" s="276" t="s">
        <v>205</v>
      </c>
      <c r="B15" s="335">
        <f>IF(Projeções!C10=0,"-",((Projeções!D10/Projeções!C10)-1)-B11-B12)</f>
        <v>0.08925266814058583</v>
      </c>
      <c r="C15" s="335">
        <f>IF(Projeções!D10=0,"-",((Projeções!E10/Projeções!D10)-1)-C11-C12)</f>
        <v>-0.27223110453331567</v>
      </c>
      <c r="D15" s="335">
        <f>IF(Projeções!E10=0,"-",((Projeções!F10/Projeções!E10)-1)-D11-D12)</f>
        <v>0.0020574815600820397</v>
      </c>
      <c r="E15" s="274">
        <f t="shared" si="0"/>
        <v>-0.060306984944215936</v>
      </c>
      <c r="F15" s="274">
        <f t="shared" si="0"/>
        <v>-0.11016020263914984</v>
      </c>
      <c r="G15" s="274">
        <f t="shared" si="0"/>
        <v>-0.05613656867442792</v>
      </c>
    </row>
    <row r="16" spans="1:7" ht="12.75">
      <c r="A16" s="276" t="s">
        <v>206</v>
      </c>
      <c r="B16" s="335">
        <f>IF(Projeções!C22=0,"-",((Projeções!D22/Projeções!C22)-1)-B11-B12)</f>
        <v>-0.04233628665011759</v>
      </c>
      <c r="C16" s="335">
        <f>IF(Projeções!D22=0,"-",((Projeções!E22/Projeções!D22)-1)-C11-C12)</f>
        <v>0.026959275866570754</v>
      </c>
      <c r="D16" s="335">
        <f>IF(Projeções!E22=0,"-",((Projeções!F22/Projeções!E22)-1)-D11-D12)</f>
        <v>0.014795011328501837</v>
      </c>
      <c r="E16" s="274">
        <f t="shared" si="0"/>
        <v>-0.0001939998183483338</v>
      </c>
      <c r="F16" s="274">
        <f t="shared" si="0"/>
        <v>0.013853429125574752</v>
      </c>
      <c r="G16" s="274">
        <f t="shared" si="0"/>
        <v>0.009484813545242752</v>
      </c>
    </row>
    <row r="17" spans="1:7" ht="12.75">
      <c r="A17" s="273" t="s">
        <v>207</v>
      </c>
      <c r="B17" s="342">
        <v>0</v>
      </c>
      <c r="C17" s="277">
        <v>0</v>
      </c>
      <c r="D17" s="277">
        <v>0</v>
      </c>
      <c r="E17" s="274">
        <v>0</v>
      </c>
      <c r="F17" s="274">
        <v>0</v>
      </c>
      <c r="G17" s="274">
        <v>0</v>
      </c>
    </row>
    <row r="18" spans="1:7" ht="12.75">
      <c r="A18" s="278" t="s">
        <v>216</v>
      </c>
      <c r="B18" s="335">
        <f>IF(Projeções!C51=0,"-",((Projeções!D51/Projeções!C51)-1)-B11-B12)</f>
        <v>-0.565615162146865</v>
      </c>
      <c r="C18" s="335">
        <v>-0.0354</v>
      </c>
      <c r="D18" s="335">
        <f>IF(Projeções!E51=0,"-",((Projeções!F51/Projeções!E51)-1)-D11-D12)</f>
        <v>-0.5434399521140556</v>
      </c>
      <c r="E18" s="274">
        <f t="shared" si="0"/>
        <v>-0.3814850380869735</v>
      </c>
      <c r="F18" s="274">
        <f t="shared" si="0"/>
        <v>-0.3201083300670097</v>
      </c>
      <c r="G18" s="274">
        <f t="shared" si="0"/>
        <v>-0.41501110675601294</v>
      </c>
    </row>
    <row r="19" spans="1:7" ht="12.75">
      <c r="A19" s="278" t="s">
        <v>394</v>
      </c>
      <c r="B19" s="344">
        <v>0.1347</v>
      </c>
      <c r="C19" s="335">
        <v>0.141</v>
      </c>
      <c r="D19" s="274">
        <v>0.13</v>
      </c>
      <c r="E19" s="274">
        <v>0.12</v>
      </c>
      <c r="F19" s="274">
        <v>0.125</v>
      </c>
      <c r="G19" s="274">
        <v>0.125</v>
      </c>
    </row>
    <row r="20" spans="1:7" ht="12.75">
      <c r="A20" s="278" t="s">
        <v>221</v>
      </c>
      <c r="B20" s="343">
        <v>321093</v>
      </c>
      <c r="C20" s="331">
        <v>310157</v>
      </c>
      <c r="D20" s="279">
        <v>335500</v>
      </c>
      <c r="E20" s="279">
        <v>335500</v>
      </c>
      <c r="F20" s="279">
        <v>335500</v>
      </c>
      <c r="G20" s="279">
        <v>335500</v>
      </c>
    </row>
    <row r="21" spans="1:7" ht="14.25">
      <c r="A21" s="163"/>
      <c r="B21" s="163"/>
      <c r="C21" s="41"/>
      <c r="D21" s="41"/>
      <c r="E21" s="41"/>
      <c r="F21" s="41"/>
      <c r="G21" s="41"/>
    </row>
    <row r="22" spans="1:7" ht="12">
      <c r="A22" s="453"/>
      <c r="B22" s="454"/>
      <c r="C22" s="454"/>
      <c r="D22" s="454"/>
      <c r="E22" s="454"/>
      <c r="F22" s="454"/>
      <c r="G22" s="454"/>
    </row>
    <row r="23" spans="1:8" ht="12">
      <c r="A23" s="454"/>
      <c r="B23" s="454"/>
      <c r="C23" s="454"/>
      <c r="D23" s="454"/>
      <c r="E23" s="454"/>
      <c r="F23" s="454"/>
      <c r="G23" s="454"/>
      <c r="H23" s="109"/>
    </row>
    <row r="24" spans="1:8" ht="12">
      <c r="A24" s="454"/>
      <c r="B24" s="454"/>
      <c r="C24" s="454"/>
      <c r="D24" s="454"/>
      <c r="E24" s="454"/>
      <c r="F24" s="454"/>
      <c r="G24" s="454"/>
      <c r="H24" s="109"/>
    </row>
    <row r="25" spans="1:8" ht="12">
      <c r="A25" s="454"/>
      <c r="B25" s="454"/>
      <c r="C25" s="454"/>
      <c r="D25" s="454"/>
      <c r="E25" s="454"/>
      <c r="F25" s="454"/>
      <c r="G25" s="454"/>
      <c r="H25" s="109"/>
    </row>
    <row r="26" spans="1:8" ht="58.5" customHeight="1">
      <c r="A26" s="454"/>
      <c r="B26" s="454"/>
      <c r="C26" s="454"/>
      <c r="D26" s="454"/>
      <c r="E26" s="454"/>
      <c r="F26" s="454"/>
      <c r="G26" s="454"/>
      <c r="H26" s="109"/>
    </row>
    <row r="27" spans="1:8" ht="12">
      <c r="A27" s="454"/>
      <c r="B27" s="454"/>
      <c r="C27" s="454"/>
      <c r="D27" s="454"/>
      <c r="E27" s="454"/>
      <c r="F27" s="454"/>
      <c r="G27" s="454"/>
      <c r="H27" s="109"/>
    </row>
    <row r="28" spans="1:8" ht="12">
      <c r="A28" s="454"/>
      <c r="B28" s="454"/>
      <c r="C28" s="454"/>
      <c r="D28" s="454"/>
      <c r="E28" s="454"/>
      <c r="F28" s="454"/>
      <c r="G28" s="454"/>
      <c r="H28" s="109"/>
    </row>
    <row r="29" spans="1:8" ht="12">
      <c r="A29" s="454"/>
      <c r="B29" s="454"/>
      <c r="C29" s="454"/>
      <c r="D29" s="454"/>
      <c r="E29" s="454"/>
      <c r="F29" s="454"/>
      <c r="G29" s="454"/>
      <c r="H29" s="109"/>
    </row>
    <row r="30" spans="1:8" ht="12">
      <c r="A30" s="454"/>
      <c r="B30" s="454"/>
      <c r="C30" s="454"/>
      <c r="D30" s="454"/>
      <c r="E30" s="454"/>
      <c r="F30" s="454"/>
      <c r="G30" s="454"/>
      <c r="H30" s="109"/>
    </row>
    <row r="31" spans="1:8" ht="12">
      <c r="A31" s="454"/>
      <c r="B31" s="454"/>
      <c r="C31" s="454"/>
      <c r="D31" s="454"/>
      <c r="E31" s="454"/>
      <c r="F31" s="454"/>
      <c r="G31" s="454"/>
      <c r="H31" s="109"/>
    </row>
    <row r="32" spans="1:8" ht="12">
      <c r="A32" s="454"/>
      <c r="B32" s="454"/>
      <c r="C32" s="454"/>
      <c r="D32" s="454"/>
      <c r="E32" s="454"/>
      <c r="F32" s="454"/>
      <c r="G32" s="454"/>
      <c r="H32" s="109"/>
    </row>
    <row r="33" spans="1:8" ht="12">
      <c r="A33" s="454"/>
      <c r="B33" s="454"/>
      <c r="C33" s="454"/>
      <c r="D33" s="454"/>
      <c r="E33" s="454"/>
      <c r="F33" s="454"/>
      <c r="G33" s="454"/>
      <c r="H33" s="109"/>
    </row>
    <row r="34" spans="1:8" ht="12">
      <c r="A34" s="454"/>
      <c r="B34" s="454"/>
      <c r="C34" s="454"/>
      <c r="D34" s="454"/>
      <c r="E34" s="454"/>
      <c r="F34" s="454"/>
      <c r="G34" s="454"/>
      <c r="H34" s="109"/>
    </row>
    <row r="35" spans="1:8" ht="12">
      <c r="A35" s="454"/>
      <c r="B35" s="454"/>
      <c r="C35" s="454"/>
      <c r="D35" s="454"/>
      <c r="E35" s="454"/>
      <c r="F35" s="454"/>
      <c r="G35" s="454"/>
      <c r="H35" s="109"/>
    </row>
    <row r="36" spans="1:8" ht="12">
      <c r="A36" s="454"/>
      <c r="B36" s="454"/>
      <c r="C36" s="454"/>
      <c r="D36" s="454"/>
      <c r="E36" s="454"/>
      <c r="F36" s="454"/>
      <c r="G36" s="454"/>
      <c r="H36" s="109"/>
    </row>
    <row r="37" spans="1:8" ht="12">
      <c r="A37" s="454"/>
      <c r="B37" s="454"/>
      <c r="C37" s="454"/>
      <c r="D37" s="454"/>
      <c r="E37" s="454"/>
      <c r="F37" s="454"/>
      <c r="G37" s="454"/>
      <c r="H37" s="109"/>
    </row>
    <row r="38" spans="1:8" ht="12">
      <c r="A38" s="454"/>
      <c r="B38" s="454"/>
      <c r="C38" s="454"/>
      <c r="D38" s="454"/>
      <c r="E38" s="454"/>
      <c r="F38" s="454"/>
      <c r="G38" s="454"/>
      <c r="H38" s="109"/>
    </row>
    <row r="39" spans="1:8" ht="12">
      <c r="A39" s="454"/>
      <c r="B39" s="454"/>
      <c r="C39" s="454"/>
      <c r="D39" s="454"/>
      <c r="E39" s="454"/>
      <c r="F39" s="454"/>
      <c r="G39" s="454"/>
      <c r="H39" s="109"/>
    </row>
    <row r="40" spans="1:8" ht="12">
      <c r="A40" s="454"/>
      <c r="B40" s="454"/>
      <c r="C40" s="454"/>
      <c r="D40" s="454"/>
      <c r="E40" s="454"/>
      <c r="F40" s="454"/>
      <c r="G40" s="454"/>
      <c r="H40" s="109"/>
    </row>
    <row r="41" spans="1:8" ht="12">
      <c r="A41" s="454"/>
      <c r="B41" s="454"/>
      <c r="C41" s="454"/>
      <c r="D41" s="454"/>
      <c r="E41" s="454"/>
      <c r="F41" s="454"/>
      <c r="G41" s="454"/>
      <c r="H41" s="109"/>
    </row>
    <row r="42" spans="1:8" ht="12">
      <c r="A42" s="454"/>
      <c r="B42" s="454"/>
      <c r="C42" s="454"/>
      <c r="D42" s="454"/>
      <c r="E42" s="454"/>
      <c r="F42" s="454"/>
      <c r="G42" s="454"/>
      <c r="H42" s="109"/>
    </row>
    <row r="43" spans="1:8" ht="12">
      <c r="A43" s="454"/>
      <c r="B43" s="454"/>
      <c r="C43" s="454"/>
      <c r="D43" s="454"/>
      <c r="E43" s="454"/>
      <c r="F43" s="454"/>
      <c r="G43" s="454"/>
      <c r="H43" s="109"/>
    </row>
    <row r="44" spans="1:8" ht="12">
      <c r="A44" s="454"/>
      <c r="B44" s="454"/>
      <c r="C44" s="454"/>
      <c r="D44" s="454"/>
      <c r="E44" s="454"/>
      <c r="F44" s="454"/>
      <c r="G44" s="454"/>
      <c r="H44" s="109"/>
    </row>
    <row r="45" spans="1:8" ht="12">
      <c r="A45" s="454"/>
      <c r="B45" s="454"/>
      <c r="C45" s="454"/>
      <c r="D45" s="454"/>
      <c r="E45" s="454"/>
      <c r="F45" s="454"/>
      <c r="G45" s="454"/>
      <c r="H45" s="109"/>
    </row>
    <row r="46" spans="1:8" ht="12">
      <c r="A46" s="454"/>
      <c r="B46" s="454"/>
      <c r="C46" s="454"/>
      <c r="D46" s="454"/>
      <c r="E46" s="454"/>
      <c r="F46" s="454"/>
      <c r="G46" s="454"/>
      <c r="H46" s="109"/>
    </row>
    <row r="47" spans="1:8" ht="12">
      <c r="A47" s="454"/>
      <c r="B47" s="454"/>
      <c r="C47" s="454"/>
      <c r="D47" s="454"/>
      <c r="E47" s="454"/>
      <c r="F47" s="454"/>
      <c r="G47" s="454"/>
      <c r="H47" s="109"/>
    </row>
    <row r="48" spans="1:8" ht="12">
      <c r="A48" s="454"/>
      <c r="B48" s="454"/>
      <c r="C48" s="454"/>
      <c r="D48" s="454"/>
      <c r="E48" s="454"/>
      <c r="F48" s="454"/>
      <c r="G48" s="454"/>
      <c r="H48" s="109"/>
    </row>
    <row r="49" spans="1:8" ht="12">
      <c r="A49" s="454"/>
      <c r="B49" s="454"/>
      <c r="C49" s="454"/>
      <c r="D49" s="454"/>
      <c r="E49" s="454"/>
      <c r="F49" s="454"/>
      <c r="G49" s="454"/>
      <c r="H49" s="109"/>
    </row>
    <row r="50" spans="1:8" ht="12">
      <c r="A50" s="454"/>
      <c r="B50" s="454"/>
      <c r="C50" s="454"/>
      <c r="D50" s="454"/>
      <c r="E50" s="454"/>
      <c r="F50" s="454"/>
      <c r="G50" s="454"/>
      <c r="H50" s="109"/>
    </row>
    <row r="51" spans="1:8" ht="12">
      <c r="A51" s="454"/>
      <c r="B51" s="454"/>
      <c r="C51" s="454"/>
      <c r="D51" s="454"/>
      <c r="E51" s="454"/>
      <c r="F51" s="454"/>
      <c r="G51" s="454"/>
      <c r="H51" s="109"/>
    </row>
    <row r="52" spans="1:8" ht="12">
      <c r="A52" s="454"/>
      <c r="B52" s="454"/>
      <c r="C52" s="454"/>
      <c r="D52" s="454"/>
      <c r="E52" s="454"/>
      <c r="F52" s="454"/>
      <c r="G52" s="454"/>
      <c r="H52" s="109"/>
    </row>
    <row r="53" spans="1:8" ht="12">
      <c r="A53" s="454"/>
      <c r="B53" s="454"/>
      <c r="C53" s="454"/>
      <c r="D53" s="454"/>
      <c r="E53" s="454"/>
      <c r="F53" s="454"/>
      <c r="G53" s="454"/>
      <c r="H53" s="109"/>
    </row>
    <row r="54" spans="1:8" ht="12">
      <c r="A54" s="454"/>
      <c r="B54" s="454"/>
      <c r="C54" s="454"/>
      <c r="D54" s="454"/>
      <c r="E54" s="454"/>
      <c r="F54" s="454"/>
      <c r="G54" s="454"/>
      <c r="H54" s="109"/>
    </row>
    <row r="55" spans="1:8" ht="12">
      <c r="A55" s="454"/>
      <c r="B55" s="454"/>
      <c r="C55" s="454"/>
      <c r="D55" s="454"/>
      <c r="E55" s="454"/>
      <c r="F55" s="454"/>
      <c r="G55" s="454"/>
      <c r="H55" s="109"/>
    </row>
    <row r="56" spans="1:8" ht="12">
      <c r="A56" s="454"/>
      <c r="B56" s="454"/>
      <c r="C56" s="454"/>
      <c r="D56" s="454"/>
      <c r="E56" s="454"/>
      <c r="F56" s="454"/>
      <c r="G56" s="454"/>
      <c r="H56" s="109"/>
    </row>
    <row r="57" spans="1:8" ht="12">
      <c r="A57" s="454"/>
      <c r="B57" s="454"/>
      <c r="C57" s="454"/>
      <c r="D57" s="454"/>
      <c r="E57" s="454"/>
      <c r="F57" s="454"/>
      <c r="G57" s="454"/>
      <c r="H57" s="109"/>
    </row>
    <row r="58" spans="1:8" ht="12">
      <c r="A58" s="454"/>
      <c r="B58" s="454"/>
      <c r="C58" s="454"/>
      <c r="D58" s="454"/>
      <c r="E58" s="454"/>
      <c r="F58" s="454"/>
      <c r="G58" s="454"/>
      <c r="H58" s="109"/>
    </row>
    <row r="59" spans="1:8" ht="12">
      <c r="A59" s="454"/>
      <c r="B59" s="454"/>
      <c r="C59" s="454"/>
      <c r="D59" s="454"/>
      <c r="E59" s="454"/>
      <c r="F59" s="454"/>
      <c r="G59" s="454"/>
      <c r="H59" s="109"/>
    </row>
    <row r="60" spans="1:8" ht="12">
      <c r="A60" s="454"/>
      <c r="B60" s="454"/>
      <c r="C60" s="454"/>
      <c r="D60" s="454"/>
      <c r="E60" s="454"/>
      <c r="F60" s="454"/>
      <c r="G60" s="454"/>
      <c r="H60" s="109"/>
    </row>
    <row r="61" spans="1:8" ht="12">
      <c r="A61" s="454"/>
      <c r="B61" s="454"/>
      <c r="C61" s="454"/>
      <c r="D61" s="454"/>
      <c r="E61" s="454"/>
      <c r="F61" s="454"/>
      <c r="G61" s="454"/>
      <c r="H61" s="109"/>
    </row>
    <row r="62" spans="1:8" ht="12">
      <c r="A62" s="454"/>
      <c r="B62" s="454"/>
      <c r="C62" s="454"/>
      <c r="D62" s="454"/>
      <c r="E62" s="454"/>
      <c r="F62" s="454"/>
      <c r="G62" s="454"/>
      <c r="H62" s="109"/>
    </row>
    <row r="63" spans="1:8" ht="12">
      <c r="A63" s="454"/>
      <c r="B63" s="454"/>
      <c r="C63" s="454"/>
      <c r="D63" s="454"/>
      <c r="E63" s="454"/>
      <c r="F63" s="454"/>
      <c r="G63" s="454"/>
      <c r="H63" s="109"/>
    </row>
    <row r="64" spans="1:8" ht="12">
      <c r="A64" s="454"/>
      <c r="B64" s="454"/>
      <c r="C64" s="454"/>
      <c r="D64" s="454"/>
      <c r="E64" s="454"/>
      <c r="F64" s="454"/>
      <c r="G64" s="454"/>
      <c r="H64" s="109"/>
    </row>
  </sheetData>
  <sheetProtection/>
  <mergeCells count="4">
    <mergeCell ref="A22:G64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600" verticalDpi="600" orientation="landscape" paperSize="9" scale="70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/>
  <dimension ref="A1:J23"/>
  <sheetViews>
    <sheetView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30.7109375" style="0" customWidth="1"/>
    <col min="2" max="2" width="14.28125" style="0" customWidth="1"/>
    <col min="3" max="3" width="14.7109375" style="0" customWidth="1"/>
    <col min="4" max="4" width="11.00390625" style="0" customWidth="1"/>
    <col min="5" max="5" width="13.8515625" style="0" customWidth="1"/>
    <col min="6" max="6" width="13.7109375" style="0" customWidth="1"/>
    <col min="7" max="7" width="10.8515625" style="0" customWidth="1"/>
    <col min="8" max="8" width="15.28125" style="0" customWidth="1"/>
    <col min="9" max="9" width="13.7109375" style="0" customWidth="1"/>
    <col min="10" max="10" width="11.00390625" style="0" customWidth="1"/>
  </cols>
  <sheetData>
    <row r="1" spans="1:10" ht="12.75">
      <c r="A1" s="464" t="str">
        <f>Parâmetros!A7</f>
        <v>Município de Barra do Quaraí</v>
      </c>
      <c r="B1" s="465"/>
      <c r="C1" s="465"/>
      <c r="D1" s="465"/>
      <c r="E1" s="465"/>
      <c r="F1" s="465"/>
      <c r="G1" s="465"/>
      <c r="H1" s="465"/>
      <c r="I1" s="465"/>
      <c r="J1" s="466"/>
    </row>
    <row r="2" spans="1:10" ht="12.75">
      <c r="A2" s="467" t="s">
        <v>42</v>
      </c>
      <c r="B2" s="465"/>
      <c r="C2" s="465"/>
      <c r="D2" s="465"/>
      <c r="E2" s="465"/>
      <c r="F2" s="465"/>
      <c r="G2" s="465"/>
      <c r="H2" s="465"/>
      <c r="I2" s="465"/>
      <c r="J2" s="466"/>
    </row>
    <row r="3" spans="1:10" ht="12.75">
      <c r="A3" s="467" t="s">
        <v>175</v>
      </c>
      <c r="B3" s="465"/>
      <c r="C3" s="465"/>
      <c r="D3" s="465"/>
      <c r="E3" s="465"/>
      <c r="F3" s="465"/>
      <c r="G3" s="465"/>
      <c r="H3" s="465"/>
      <c r="I3" s="465"/>
      <c r="J3" s="466"/>
    </row>
    <row r="4" spans="1:10" ht="12.75">
      <c r="A4" s="449" t="s">
        <v>236</v>
      </c>
      <c r="B4" s="447"/>
      <c r="C4" s="447"/>
      <c r="D4" s="447"/>
      <c r="E4" s="447"/>
      <c r="F4" s="447"/>
      <c r="G4" s="447"/>
      <c r="H4" s="447"/>
      <c r="I4" s="447"/>
      <c r="J4" s="448"/>
    </row>
    <row r="5" spans="1:10" ht="17.25" customHeight="1">
      <c r="A5" s="467" t="s">
        <v>413</v>
      </c>
      <c r="B5" s="465"/>
      <c r="C5" s="465"/>
      <c r="D5" s="465"/>
      <c r="E5" s="465"/>
      <c r="F5" s="465"/>
      <c r="G5" s="465"/>
      <c r="H5" s="465"/>
      <c r="I5" s="465"/>
      <c r="J5" s="466"/>
    </row>
    <row r="6" spans="1:10" ht="21.75" customHeight="1">
      <c r="A6" s="91"/>
      <c r="B6" s="93"/>
      <c r="C6" s="93"/>
      <c r="D6" s="93"/>
      <c r="E6" s="93"/>
      <c r="F6" s="93"/>
      <c r="G6" s="93"/>
      <c r="H6" s="93"/>
      <c r="I6" s="93"/>
      <c r="J6" s="94"/>
    </row>
    <row r="7" spans="1:10" ht="15">
      <c r="A7" s="192" t="s">
        <v>285</v>
      </c>
      <c r="B7" s="469"/>
      <c r="C7" s="469"/>
      <c r="D7" s="469"/>
      <c r="E7" s="469"/>
      <c r="F7" s="469"/>
      <c r="G7" s="469"/>
      <c r="H7" s="470">
        <v>1</v>
      </c>
      <c r="I7" s="471"/>
      <c r="J7" s="471"/>
    </row>
    <row r="8" spans="1:10" s="30" customFormat="1" ht="12.75">
      <c r="A8" s="463" t="s">
        <v>97</v>
      </c>
      <c r="B8" s="463">
        <v>2018</v>
      </c>
      <c r="C8" s="463"/>
      <c r="D8" s="463"/>
      <c r="E8" s="463">
        <f>B8+1</f>
        <v>2019</v>
      </c>
      <c r="F8" s="463"/>
      <c r="G8" s="463"/>
      <c r="H8" s="463">
        <f>E8+1</f>
        <v>2020</v>
      </c>
      <c r="I8" s="463"/>
      <c r="J8" s="463"/>
    </row>
    <row r="9" spans="1:10" ht="15.75" customHeight="1">
      <c r="A9" s="463"/>
      <c r="B9" s="266" t="s">
        <v>98</v>
      </c>
      <c r="C9" s="266" t="s">
        <v>98</v>
      </c>
      <c r="D9" s="266" t="s">
        <v>99</v>
      </c>
      <c r="E9" s="266" t="s">
        <v>98</v>
      </c>
      <c r="F9" s="266" t="s">
        <v>98</v>
      </c>
      <c r="G9" s="266" t="s">
        <v>99</v>
      </c>
      <c r="H9" s="266" t="s">
        <v>98</v>
      </c>
      <c r="I9" s="266" t="s">
        <v>98</v>
      </c>
      <c r="J9" s="267" t="s">
        <v>99</v>
      </c>
    </row>
    <row r="10" spans="1:10" ht="15.75" customHeight="1">
      <c r="A10" s="463"/>
      <c r="B10" s="266" t="s">
        <v>100</v>
      </c>
      <c r="C10" s="266" t="s">
        <v>101</v>
      </c>
      <c r="D10" s="266" t="s">
        <v>102</v>
      </c>
      <c r="E10" s="266" t="s">
        <v>100</v>
      </c>
      <c r="F10" s="266" t="s">
        <v>101</v>
      </c>
      <c r="G10" s="266" t="s">
        <v>103</v>
      </c>
      <c r="H10" s="266" t="s">
        <v>100</v>
      </c>
      <c r="I10" s="266" t="s">
        <v>101</v>
      </c>
      <c r="J10" s="267" t="s">
        <v>104</v>
      </c>
    </row>
    <row r="11" spans="1:10" ht="15.75" customHeight="1">
      <c r="A11" s="463"/>
      <c r="B11" s="266" t="s">
        <v>105</v>
      </c>
      <c r="C11" s="268"/>
      <c r="D11" s="266" t="s">
        <v>106</v>
      </c>
      <c r="E11" s="266" t="s">
        <v>107</v>
      </c>
      <c r="F11" s="268"/>
      <c r="G11" s="266" t="s">
        <v>106</v>
      </c>
      <c r="H11" s="266" t="s">
        <v>108</v>
      </c>
      <c r="I11" s="268"/>
      <c r="J11" s="267" t="s">
        <v>106</v>
      </c>
    </row>
    <row r="12" spans="1:10" ht="15">
      <c r="A12" s="269" t="s">
        <v>109</v>
      </c>
      <c r="B12" s="270">
        <f>Projeções!G35</f>
        <v>21092039.39720701</v>
      </c>
      <c r="C12" s="270">
        <f>B12/(1+Parâmetros!E11)</f>
        <v>19898150.374723595</v>
      </c>
      <c r="D12" s="271">
        <f>B12/(Parâmetros!E20)/1000000</f>
        <v>6.28674795743875E-05</v>
      </c>
      <c r="E12" s="270">
        <f>Projeções!H35</f>
        <v>22846765.866690964</v>
      </c>
      <c r="F12" s="270">
        <f>E12/((1+Parâmetros!E11)*(1+Parâmetros!F11))</f>
        <v>20625409.28653152</v>
      </c>
      <c r="G12" s="271">
        <f>E12/(Parâmetros!F20)/1000000</f>
        <v>6.809766279192537E-05</v>
      </c>
      <c r="H12" s="270">
        <f>Projeções!I35</f>
        <v>24680234.17415839</v>
      </c>
      <c r="I12" s="270">
        <f>H12/((1+Parâmetros!E11)*(1+Parâmetros!F11)*(1+Parâmetros!G11))</f>
        <v>21321160.034744516</v>
      </c>
      <c r="J12" s="271">
        <f>H12/(Parâmetros!G20)/1000000</f>
        <v>7.356254597364646E-05</v>
      </c>
    </row>
    <row r="13" spans="1:10" ht="15">
      <c r="A13" s="269" t="s">
        <v>176</v>
      </c>
      <c r="B13" s="270">
        <f>B12-(Projeções!G15+Projeções!G27+Projeções!G28+Projeções!G29)</f>
        <v>20969848.35300701</v>
      </c>
      <c r="C13" s="270">
        <f>B13/(1+Parâmetros!E11)</f>
        <v>19782875.804723594</v>
      </c>
      <c r="D13" s="271">
        <f>B13/(Parâmetros!E20)/1000000</f>
        <v>6.250327377945459E-05</v>
      </c>
      <c r="E13" s="270">
        <f>E12-(Projeções!H15+Projeções!H27+Projeções!H28+Projeções!H29)</f>
        <v>22718761.54348075</v>
      </c>
      <c r="F13" s="270">
        <f>E13/((1+Parâmetros!E11)*(1+Parâmetros!F11))</f>
        <v>20509850.630568523</v>
      </c>
      <c r="G13" s="271">
        <f>E13/(Parâmetros!F20)/1000000</f>
        <v>6.771612978682786E-05</v>
      </c>
      <c r="H13" s="270">
        <f>H12-(Projeções!I15+Projeções!I27+Projeções!I28+Projeções!I29)</f>
        <v>24546138.809401564</v>
      </c>
      <c r="I13" s="270">
        <f>H13/((1+Parâmetros!E11)*(1+Parâmetros!F11)*(1+Parâmetros!G11))</f>
        <v>21205315.56132006</v>
      </c>
      <c r="J13" s="271">
        <f>H13/(Parâmetros!G20)/1000000</f>
        <v>7.316285785216562E-05</v>
      </c>
    </row>
    <row r="14" spans="1:10" ht="15">
      <c r="A14" s="269" t="s">
        <v>110</v>
      </c>
      <c r="B14" s="270">
        <f>Projeções!G60</f>
        <v>21092039.39720701</v>
      </c>
      <c r="C14" s="270">
        <f>B14/(1+Parâmetros!E11)</f>
        <v>19898150.374723595</v>
      </c>
      <c r="D14" s="271">
        <f>B14/(Parâmetros!E20)/1000000</f>
        <v>6.28674795743875E-05</v>
      </c>
      <c r="E14" s="270">
        <f>Projeções!H60</f>
        <v>22846765.866690964</v>
      </c>
      <c r="F14" s="270">
        <f>E14/((1+Parâmetros!E11)*(1+Parâmetros!F11))</f>
        <v>20625409.28653152</v>
      </c>
      <c r="G14" s="271">
        <f>E14/(Parâmetros!F20)/1000000</f>
        <v>6.809766279192537E-05</v>
      </c>
      <c r="H14" s="270">
        <f>Projeções!I60</f>
        <v>24680234.17415839</v>
      </c>
      <c r="I14" s="270">
        <f>H14/((1+Parâmetros!E11)*(1+Parâmetros!F11)*(1+Parâmetros!G11))</f>
        <v>21321160.034744516</v>
      </c>
      <c r="J14" s="271">
        <f>H14/(Parâmetros!G20)/1000000</f>
        <v>7.356254597364646E-05</v>
      </c>
    </row>
    <row r="15" spans="1:10" ht="15">
      <c r="A15" s="269" t="s">
        <v>177</v>
      </c>
      <c r="B15" s="270">
        <f>B14-(Projeções!G44+Projeções!G55+Projeções!G57)</f>
        <v>20757095.70594301</v>
      </c>
      <c r="C15" s="270">
        <f>B15/(1+Parâmetros!E11)</f>
        <v>19582165.760323595</v>
      </c>
      <c r="D15" s="271">
        <f>B15/(Parâmetros!E20)/1000000</f>
        <v>6.186913772263192E-05</v>
      </c>
      <c r="E15" s="270">
        <f>E14-(Projeções!H44+Projeções!H55+Projeções!H57)</f>
        <v>22452997.689648725</v>
      </c>
      <c r="F15" s="270">
        <f>E15/((1+Parâmetros!E11)*(1+Parâmetros!F11))</f>
        <v>20269926.595331524</v>
      </c>
      <c r="G15" s="271">
        <f>E15/(Parâmetros!F20)/1000000</f>
        <v>6.69239871524552E-05</v>
      </c>
      <c r="H15" s="270">
        <f>H14-(Projeções!I44+Projeções!I55+Projeções!I57)</f>
        <v>24217310.461023107</v>
      </c>
      <c r="I15" s="270">
        <f>H15/((1+Parâmetros!E11)*(1+Parâmetros!F11)*(1+Parâmetros!G11))</f>
        <v>20921242.00714452</v>
      </c>
      <c r="J15" s="271">
        <f>H15/(Parâmetros!G20)/1000000</f>
        <v>7.218274354999436E-05</v>
      </c>
    </row>
    <row r="16" spans="1:10" ht="15">
      <c r="A16" s="269" t="s">
        <v>111</v>
      </c>
      <c r="B16" s="270">
        <f>B13-B15</f>
        <v>212752.64706400037</v>
      </c>
      <c r="C16" s="270">
        <f>C13-C15</f>
        <v>200710.04439999908</v>
      </c>
      <c r="D16" s="271">
        <f>B16/(Parâmetros!E20)/1000000</f>
        <v>6.341360568226539E-07</v>
      </c>
      <c r="E16" s="270">
        <f>E13-E15</f>
        <v>265763.8538320251</v>
      </c>
      <c r="F16" s="270">
        <f>F13-F15</f>
        <v>239924.0352369994</v>
      </c>
      <c r="G16" s="271">
        <f>E16/(Parâmetros!F20)/1000000</f>
        <v>7.92142634372653E-07</v>
      </c>
      <c r="H16" s="270">
        <f>H13-H15</f>
        <v>328828.3483784571</v>
      </c>
      <c r="I16" s="270">
        <f>I13-I15</f>
        <v>284073.5541755408</v>
      </c>
      <c r="J16" s="271">
        <f>H16/(Parâmetros!G20)/1000000</f>
        <v>9.801143021712581E-07</v>
      </c>
    </row>
    <row r="17" spans="1:10" ht="15">
      <c r="A17" s="269" t="s">
        <v>112</v>
      </c>
      <c r="B17" s="270">
        <f>Dívida!E12</f>
        <v>-1658586.2673973336</v>
      </c>
      <c r="C17" s="270">
        <f>B17/(1+Parâmetros!E11)</f>
        <v>-1564704.0258465412</v>
      </c>
      <c r="D17" s="271">
        <f>B17/(Parâmetros!E20)/1000000</f>
        <v>-4.943625238144064E-06</v>
      </c>
      <c r="E17" s="270">
        <f>Dívida!F12</f>
        <v>-377340.96116135106</v>
      </c>
      <c r="F17" s="270">
        <f>E17/((1+Parâmetros!E11)*(1+Parâmetros!F11))</f>
        <v>-340652.6687382424</v>
      </c>
      <c r="G17" s="271">
        <f>E17/(Parâmetros!F20)/1000000</f>
        <v>-1.1247122538341315E-06</v>
      </c>
      <c r="H17" s="270">
        <f>Dívida!G12</f>
        <v>-542425.8867977117</v>
      </c>
      <c r="I17" s="270">
        <f>H17/((1+Parâmetros!E11)*(1+Parâmetros!F11)*(1+Parâmetros!G11))</f>
        <v>-468599.6517614729</v>
      </c>
      <c r="J17" s="271">
        <f>H17/(Parâmetros!G20)/1000000</f>
        <v>-1.616768664076637E-06</v>
      </c>
    </row>
    <row r="18" spans="1:10" ht="15">
      <c r="A18" s="269" t="s">
        <v>113</v>
      </c>
      <c r="B18" s="270">
        <f>Dívida!E7</f>
        <v>-251711.38406400007</v>
      </c>
      <c r="C18" s="270">
        <f>B18/(1+Parâmetros!E11)</f>
        <v>-237463.56987169816</v>
      </c>
      <c r="D18" s="271">
        <f>B18/(Parâmetros!E20)/1000000</f>
        <v>-7.502574785812223E-07</v>
      </c>
      <c r="E18" s="270">
        <f>Dívida!F7</f>
        <v>-676943.4841142402</v>
      </c>
      <c r="F18" s="270">
        <f>E18/((1+Parâmetros!E11)*(1+Parâmetros!F11))</f>
        <v>-611125.2903441729</v>
      </c>
      <c r="G18" s="271">
        <f>E18/(Parâmetros!F20)/1000000</f>
        <v>-2.0177153028740393E-06</v>
      </c>
      <c r="H18" s="270">
        <f>Dívida!G7</f>
        <v>-1224485.1327638037</v>
      </c>
      <c r="I18" s="270">
        <f>H18/((1+Parâmetros!E11)*(1+Parâmetros!F11)*(1+Parâmetros!G11))</f>
        <v>-1057828.0291666933</v>
      </c>
      <c r="J18" s="271">
        <f>H18/(Parâmetros!G20)/1000000</f>
        <v>-3.649732139385406E-06</v>
      </c>
    </row>
    <row r="19" spans="1:10" ht="15">
      <c r="A19" s="269" t="s">
        <v>114</v>
      </c>
      <c r="B19" s="270">
        <f>Dívida!E9</f>
        <v>-1658586.2673973336</v>
      </c>
      <c r="C19" s="270">
        <f>B19/(1+Parâmetros!E11)</f>
        <v>-1564704.0258465412</v>
      </c>
      <c r="D19" s="271">
        <f>B19/(Parâmetros!E20)/1000000</f>
        <v>-4.943625238144064E-06</v>
      </c>
      <c r="E19" s="270">
        <f>Dívida!F9</f>
        <v>-2035927.2285586847</v>
      </c>
      <c r="F19" s="270">
        <f>E19/((1+Parâmetros!E11)*(1+Parâmetros!F11))</f>
        <v>-1837977.0953856504</v>
      </c>
      <c r="G19" s="271">
        <f>E19/(Parâmetros!F20)/1000000</f>
        <v>-6.068337491978196E-06</v>
      </c>
      <c r="H19" s="270">
        <f>Dívida!G9</f>
        <v>-2578353.1153563964</v>
      </c>
      <c r="I19" s="270">
        <f>H19/((1+Parâmetros!E11)*(1+Parâmetros!F11)*(1+Parâmetros!G11))</f>
        <v>-2227429.4081113776</v>
      </c>
      <c r="J19" s="271">
        <f>H19/(Parâmetros!G20)/1000000</f>
        <v>-7.685106156054833E-06</v>
      </c>
    </row>
    <row r="20" spans="1:10" ht="15">
      <c r="A20" s="269" t="s">
        <v>387</v>
      </c>
      <c r="B20" s="270">
        <v>0</v>
      </c>
      <c r="C20" s="270">
        <v>0</v>
      </c>
      <c r="D20" s="271">
        <v>0</v>
      </c>
      <c r="E20" s="270">
        <v>0</v>
      </c>
      <c r="F20" s="270">
        <v>0</v>
      </c>
      <c r="G20" s="271">
        <v>0</v>
      </c>
      <c r="H20" s="270">
        <v>0</v>
      </c>
      <c r="I20" s="270">
        <v>0</v>
      </c>
      <c r="J20" s="271">
        <v>0</v>
      </c>
    </row>
    <row r="21" spans="1:10" ht="15">
      <c r="A21" s="269" t="s">
        <v>388</v>
      </c>
      <c r="B21" s="270">
        <v>0</v>
      </c>
      <c r="C21" s="270">
        <v>0</v>
      </c>
      <c r="D21" s="271">
        <v>0</v>
      </c>
      <c r="E21" s="270">
        <v>0</v>
      </c>
      <c r="F21" s="270">
        <v>0</v>
      </c>
      <c r="G21" s="271">
        <v>0</v>
      </c>
      <c r="H21" s="270">
        <v>0</v>
      </c>
      <c r="I21" s="270">
        <v>0</v>
      </c>
      <c r="J21" s="271">
        <v>0</v>
      </c>
    </row>
    <row r="22" spans="1:10" ht="15">
      <c r="A22" s="269" t="s">
        <v>389</v>
      </c>
      <c r="B22" s="270">
        <v>0</v>
      </c>
      <c r="C22" s="270">
        <v>0</v>
      </c>
      <c r="D22" s="271">
        <v>0</v>
      </c>
      <c r="E22" s="270">
        <v>0</v>
      </c>
      <c r="F22" s="270">
        <v>0</v>
      </c>
      <c r="G22" s="271">
        <v>0</v>
      </c>
      <c r="H22" s="270">
        <v>0</v>
      </c>
      <c r="I22" s="270">
        <v>0</v>
      </c>
      <c r="J22" s="271">
        <v>0</v>
      </c>
    </row>
    <row r="23" spans="1:10" ht="12.75">
      <c r="A23" s="468"/>
      <c r="B23" s="468"/>
      <c r="C23" s="468"/>
      <c r="D23" s="468"/>
      <c r="E23" s="468"/>
      <c r="F23" s="468"/>
      <c r="G23" s="468"/>
      <c r="H23" s="468"/>
      <c r="I23" s="468"/>
      <c r="J23" s="468"/>
    </row>
    <row r="24" s="92" customFormat="1" ht="15" customHeight="1"/>
  </sheetData>
  <sheetProtection/>
  <mergeCells count="13">
    <mergeCell ref="A23:J23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90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30.00390625" style="0" customWidth="1"/>
    <col min="2" max="2" width="12.140625" style="0" customWidth="1"/>
    <col min="3" max="3" width="13.421875" style="0" customWidth="1"/>
    <col min="4" max="4" width="12.140625" style="0" customWidth="1"/>
    <col min="5" max="6" width="12.8515625" style="0" customWidth="1"/>
    <col min="7" max="7" width="10.7109375" style="0" customWidth="1"/>
    <col min="8" max="8" width="12.8515625" style="0" customWidth="1"/>
    <col min="9" max="9" width="13.140625" style="0" customWidth="1"/>
    <col min="10" max="10" width="11.28125" style="0" customWidth="1"/>
  </cols>
  <sheetData>
    <row r="1" spans="1:10" ht="12.75">
      <c r="A1" s="472" t="str">
        <f>Parâmetros!A7</f>
        <v>Município de Barra do Quaraí</v>
      </c>
      <c r="B1" s="473"/>
      <c r="C1" s="473"/>
      <c r="D1" s="473"/>
      <c r="E1" s="473"/>
      <c r="F1" s="473"/>
      <c r="G1" s="473"/>
      <c r="H1" s="473"/>
      <c r="I1" s="473"/>
      <c r="J1" s="474"/>
    </row>
    <row r="2" spans="1:10" ht="12.75">
      <c r="A2" s="475" t="s">
        <v>42</v>
      </c>
      <c r="B2" s="473"/>
      <c r="C2" s="473"/>
      <c r="D2" s="473"/>
      <c r="E2" s="473"/>
      <c r="F2" s="473"/>
      <c r="G2" s="473"/>
      <c r="H2" s="473"/>
      <c r="I2" s="473"/>
      <c r="J2" s="474"/>
    </row>
    <row r="3" spans="1:10" ht="12.75">
      <c r="A3" s="475" t="s">
        <v>175</v>
      </c>
      <c r="B3" s="473"/>
      <c r="C3" s="473"/>
      <c r="D3" s="473"/>
      <c r="E3" s="473"/>
      <c r="F3" s="473"/>
      <c r="G3" s="473"/>
      <c r="H3" s="473"/>
      <c r="I3" s="473"/>
      <c r="J3" s="474"/>
    </row>
    <row r="4" spans="1:10" ht="12.75">
      <c r="A4" s="476" t="s">
        <v>237</v>
      </c>
      <c r="B4" s="477"/>
      <c r="C4" s="477"/>
      <c r="D4" s="477"/>
      <c r="E4" s="477"/>
      <c r="F4" s="477"/>
      <c r="G4" s="477"/>
      <c r="H4" s="477"/>
      <c r="I4" s="477"/>
      <c r="J4" s="478"/>
    </row>
    <row r="5" spans="1:10" ht="17.25" customHeight="1">
      <c r="A5" s="475" t="s">
        <v>413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 ht="21.75" customHeight="1">
      <c r="A6" s="311"/>
      <c r="B6" s="312"/>
      <c r="C6" s="312"/>
      <c r="D6" s="312"/>
      <c r="E6" s="312"/>
      <c r="F6" s="312"/>
      <c r="G6" s="312"/>
      <c r="H6" s="312"/>
      <c r="I6" s="312"/>
      <c r="J6" s="313"/>
    </row>
    <row r="7" spans="1:10" ht="15">
      <c r="A7" s="192" t="s">
        <v>285</v>
      </c>
      <c r="B7" s="469"/>
      <c r="C7" s="469"/>
      <c r="D7" s="469"/>
      <c r="E7" s="469"/>
      <c r="F7" s="469"/>
      <c r="G7" s="469"/>
      <c r="H7" s="470">
        <v>1</v>
      </c>
      <c r="I7" s="471"/>
      <c r="J7" s="471"/>
    </row>
    <row r="8" spans="1:10" s="30" customFormat="1" ht="12.75">
      <c r="A8" s="480" t="s">
        <v>97</v>
      </c>
      <c r="B8" s="483">
        <v>2018</v>
      </c>
      <c r="C8" s="484"/>
      <c r="D8" s="485"/>
      <c r="E8" s="483">
        <f>B8+1</f>
        <v>2019</v>
      </c>
      <c r="F8" s="484"/>
      <c r="G8" s="485"/>
      <c r="H8" s="483">
        <f>E8+1</f>
        <v>2020</v>
      </c>
      <c r="I8" s="484"/>
      <c r="J8" s="485"/>
    </row>
    <row r="9" spans="1:10" ht="15.75" customHeight="1">
      <c r="A9" s="481"/>
      <c r="B9" s="314" t="s">
        <v>98</v>
      </c>
      <c r="C9" s="315" t="s">
        <v>98</v>
      </c>
      <c r="D9" s="315" t="s">
        <v>99</v>
      </c>
      <c r="E9" s="315" t="s">
        <v>98</v>
      </c>
      <c r="F9" s="315" t="s">
        <v>98</v>
      </c>
      <c r="G9" s="315" t="s">
        <v>99</v>
      </c>
      <c r="H9" s="315" t="s">
        <v>98</v>
      </c>
      <c r="I9" s="315" t="s">
        <v>98</v>
      </c>
      <c r="J9" s="316" t="s">
        <v>99</v>
      </c>
    </row>
    <row r="10" spans="1:10" ht="15.75" customHeight="1">
      <c r="A10" s="481"/>
      <c r="B10" s="317" t="s">
        <v>100</v>
      </c>
      <c r="C10" s="318" t="s">
        <v>101</v>
      </c>
      <c r="D10" s="318" t="s">
        <v>102</v>
      </c>
      <c r="E10" s="318" t="s">
        <v>100</v>
      </c>
      <c r="F10" s="318" t="s">
        <v>101</v>
      </c>
      <c r="G10" s="318" t="s">
        <v>103</v>
      </c>
      <c r="H10" s="318" t="s">
        <v>100</v>
      </c>
      <c r="I10" s="318" t="s">
        <v>101</v>
      </c>
      <c r="J10" s="319" t="s">
        <v>104</v>
      </c>
    </row>
    <row r="11" spans="1:10" ht="15.75" customHeight="1">
      <c r="A11" s="482"/>
      <c r="B11" s="320" t="s">
        <v>105</v>
      </c>
      <c r="C11" s="321"/>
      <c r="D11" s="322" t="s">
        <v>106</v>
      </c>
      <c r="E11" s="322" t="s">
        <v>107</v>
      </c>
      <c r="F11" s="321"/>
      <c r="G11" s="322" t="s">
        <v>106</v>
      </c>
      <c r="H11" s="322" t="s">
        <v>108</v>
      </c>
      <c r="I11" s="321"/>
      <c r="J11" s="323" t="s">
        <v>106</v>
      </c>
    </row>
    <row r="12" spans="1:10" ht="15">
      <c r="A12" s="324" t="s">
        <v>231</v>
      </c>
      <c r="B12" s="325">
        <f>Projeções!G13+Projeções!G17+Projeções!G25+Projeções!G32</f>
        <v>0</v>
      </c>
      <c r="C12" s="325">
        <f>B12/(1+Parâmetros!E11)</f>
        <v>0</v>
      </c>
      <c r="D12" s="326">
        <f>B12/(Parâmetros!E20)/1000000</f>
        <v>0</v>
      </c>
      <c r="E12" s="325">
        <f>Projeções!H13+Projeções!H17+Projeções!H25+Projeções!H32</f>
        <v>0</v>
      </c>
      <c r="F12" s="325">
        <f>E12/((1+Parâmetros!E11)*(1+Parâmetros!F11))</f>
        <v>0</v>
      </c>
      <c r="G12" s="326">
        <f>E12/(Parâmetros!F20)/1000000</f>
        <v>0</v>
      </c>
      <c r="H12" s="325">
        <f>Projeções!I13+Projeções!I17+Projeções!I25+Projeções!I32</f>
        <v>0</v>
      </c>
      <c r="I12" s="325">
        <f>H12/((1+Parâmetros!E11)*(1+Parâmetros!F11)*(1+Parâmetros!G11))</f>
        <v>0</v>
      </c>
      <c r="J12" s="326">
        <f>H12/(Parâmetros!G20)/1000000</f>
        <v>0</v>
      </c>
    </row>
    <row r="13" spans="1:10" ht="15">
      <c r="A13" s="324" t="s">
        <v>232</v>
      </c>
      <c r="B13" s="325">
        <f>B12-Projeções!G17</f>
        <v>0</v>
      </c>
      <c r="C13" s="325">
        <f>B13/(1+Parâmetros!E11)</f>
        <v>0</v>
      </c>
      <c r="D13" s="326">
        <f>B13/(Parâmetros!E20)/1000000</f>
        <v>0</v>
      </c>
      <c r="E13" s="325">
        <f>E12-Projeções!H17</f>
        <v>0</v>
      </c>
      <c r="F13" s="325">
        <f>E13/((1+Parâmetros!E11)*(1+Parâmetros!F11))</f>
        <v>0</v>
      </c>
      <c r="G13" s="326">
        <f>E13/(Parâmetros!F20)/1000000</f>
        <v>0</v>
      </c>
      <c r="H13" s="325">
        <f>H12-Projeções!I17</f>
        <v>0</v>
      </c>
      <c r="I13" s="325">
        <f>H13/((1+Parâmetros!E11)*(1+Parâmetros!F11)*(1+Parâmetros!G11))</f>
        <v>0</v>
      </c>
      <c r="J13" s="326">
        <f>H13/(Parâmetros!G20)/1000000</f>
        <v>0</v>
      </c>
    </row>
    <row r="14" spans="1:10" ht="15">
      <c r="A14" s="324" t="s">
        <v>233</v>
      </c>
      <c r="B14" s="325">
        <f>Projeções!G43+Projeções!G46+Projeções!G49+Projeções!G53+Projeções!G59</f>
        <v>0</v>
      </c>
      <c r="C14" s="325">
        <f>B14/(1+Parâmetros!E11)</f>
        <v>0</v>
      </c>
      <c r="D14" s="326">
        <f>B14/(Parâmetros!E20)/1000000</f>
        <v>0</v>
      </c>
      <c r="E14" s="325">
        <f>Projeções!H43+Projeções!H46+Projeções!H49+Projeções!H53+Projeções!H59</f>
        <v>0</v>
      </c>
      <c r="F14" s="325">
        <f>E14/((1+Parâmetros!E11)*(1+Parâmetros!F11))</f>
        <v>0</v>
      </c>
      <c r="G14" s="326">
        <f>E14/(Parâmetros!F20)/1000000</f>
        <v>0</v>
      </c>
      <c r="H14" s="325">
        <f>Projeções!I43+Projeções!I46+Projeções!I49+Projeções!I53+Projeções!I59</f>
        <v>0</v>
      </c>
      <c r="I14" s="325">
        <f>H14/((1+Parâmetros!E11)*(1+Parâmetros!F11)*(1+Parâmetros!G11))</f>
        <v>0</v>
      </c>
      <c r="J14" s="326">
        <f>H14/(Parâmetros!G20)/1000000</f>
        <v>0</v>
      </c>
    </row>
    <row r="15" spans="1:10" ht="15">
      <c r="A15" s="324" t="s">
        <v>234</v>
      </c>
      <c r="B15" s="325">
        <f>B14-Projeções!G46</f>
        <v>0</v>
      </c>
      <c r="C15" s="325">
        <f>B15/(1+Parâmetros!E11)</f>
        <v>0</v>
      </c>
      <c r="D15" s="326">
        <f>B15/(Parâmetros!E20)/1000000</f>
        <v>0</v>
      </c>
      <c r="E15" s="325">
        <f>E14-Projeções!H46</f>
        <v>0</v>
      </c>
      <c r="F15" s="325">
        <f>E15/((1+Parâmetros!E11)*(1+Parâmetros!F11))</f>
        <v>0</v>
      </c>
      <c r="G15" s="326">
        <f>E15/(Parâmetros!F20)/1000000</f>
        <v>0</v>
      </c>
      <c r="H15" s="325">
        <f>H14-Projeções!I46</f>
        <v>0</v>
      </c>
      <c r="I15" s="325">
        <f>H15/((1+Parâmetros!E11)*(1+Parâmetros!F11)*(1+Parâmetros!G11))</f>
        <v>0</v>
      </c>
      <c r="J15" s="326">
        <f>H15/(Parâmetros!G20)/1000000</f>
        <v>0</v>
      </c>
    </row>
    <row r="16" spans="1:10" ht="15">
      <c r="A16" s="324" t="s">
        <v>235</v>
      </c>
      <c r="B16" s="325">
        <f>B13-B15</f>
        <v>0</v>
      </c>
      <c r="C16" s="325">
        <f>C13-C15</f>
        <v>0</v>
      </c>
      <c r="D16" s="326">
        <f>B16/(Parâmetros!E20)/1000000</f>
        <v>0</v>
      </c>
      <c r="E16" s="325">
        <f>E13-E15</f>
        <v>0</v>
      </c>
      <c r="F16" s="325">
        <f>F13-F15</f>
        <v>0</v>
      </c>
      <c r="G16" s="326">
        <f>E16/(Parâmetros!F20)/1000000</f>
        <v>0</v>
      </c>
      <c r="H16" s="325">
        <f>H13-H15</f>
        <v>0</v>
      </c>
      <c r="I16" s="325">
        <f>I13-I15</f>
        <v>0</v>
      </c>
      <c r="J16" s="326">
        <f>H16/(Parâmetros!G20)/1000000</f>
        <v>0</v>
      </c>
    </row>
    <row r="17" spans="1:10" ht="12.75">
      <c r="A17" s="479" t="s">
        <v>390</v>
      </c>
      <c r="B17" s="479"/>
      <c r="C17" s="479"/>
      <c r="D17" s="479"/>
      <c r="E17" s="479"/>
      <c r="F17" s="479"/>
      <c r="G17" s="479"/>
      <c r="H17" s="479"/>
      <c r="I17" s="479"/>
      <c r="J17" s="479"/>
    </row>
    <row r="18" s="92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600" verticalDpi="600" orientation="landscape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90" zoomScaleSheetLayoutView="100" zoomScalePageLayoutView="0" workbookViewId="0" topLeftCell="A1">
      <selection activeCell="E8" sqref="E8:G8"/>
    </sheetView>
  </sheetViews>
  <sheetFormatPr defaultColWidth="9.140625" defaultRowHeight="12.75"/>
  <cols>
    <col min="1" max="1" width="29.140625" style="0" customWidth="1"/>
    <col min="2" max="2" width="14.8515625" style="0" customWidth="1"/>
    <col min="3" max="3" width="14.28125" style="0" customWidth="1"/>
    <col min="4" max="4" width="12.140625" style="0" customWidth="1"/>
    <col min="5" max="5" width="14.00390625" style="0" customWidth="1"/>
    <col min="6" max="6" width="14.140625" style="0" customWidth="1"/>
    <col min="7" max="7" width="10.7109375" style="0" customWidth="1"/>
    <col min="8" max="8" width="14.421875" style="0" customWidth="1"/>
    <col min="9" max="9" width="14.140625" style="0" customWidth="1"/>
    <col min="10" max="10" width="11.28125" style="0" customWidth="1"/>
  </cols>
  <sheetData>
    <row r="1" spans="1:10" ht="12.75">
      <c r="A1" s="464" t="str">
        <f>Parâmetros!A7</f>
        <v>Município de Barra do Quaraí</v>
      </c>
      <c r="B1" s="465"/>
      <c r="C1" s="465"/>
      <c r="D1" s="465"/>
      <c r="E1" s="465"/>
      <c r="F1" s="465"/>
      <c r="G1" s="465"/>
      <c r="H1" s="465"/>
      <c r="I1" s="465"/>
      <c r="J1" s="466"/>
    </row>
    <row r="2" spans="1:10" ht="12.75">
      <c r="A2" s="475" t="s">
        <v>42</v>
      </c>
      <c r="B2" s="473"/>
      <c r="C2" s="473"/>
      <c r="D2" s="473"/>
      <c r="E2" s="473"/>
      <c r="F2" s="473"/>
      <c r="G2" s="473"/>
      <c r="H2" s="473"/>
      <c r="I2" s="473"/>
      <c r="J2" s="474"/>
    </row>
    <row r="3" spans="1:10" ht="12.75">
      <c r="A3" s="475" t="s">
        <v>175</v>
      </c>
      <c r="B3" s="473"/>
      <c r="C3" s="473"/>
      <c r="D3" s="473"/>
      <c r="E3" s="473"/>
      <c r="F3" s="473"/>
      <c r="G3" s="473"/>
      <c r="H3" s="473"/>
      <c r="I3" s="473"/>
      <c r="J3" s="474"/>
    </row>
    <row r="4" spans="1:10" ht="12.75">
      <c r="A4" s="476" t="s">
        <v>238</v>
      </c>
      <c r="B4" s="477"/>
      <c r="C4" s="477"/>
      <c r="D4" s="477"/>
      <c r="E4" s="477"/>
      <c r="F4" s="477"/>
      <c r="G4" s="477"/>
      <c r="H4" s="477"/>
      <c r="I4" s="477"/>
      <c r="J4" s="478"/>
    </row>
    <row r="5" spans="1:10" ht="17.25" customHeight="1">
      <c r="A5" s="475" t="s">
        <v>413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 ht="21.75" customHeight="1">
      <c r="A6" s="311"/>
      <c r="B6" s="312"/>
      <c r="C6" s="312"/>
      <c r="D6" s="312"/>
      <c r="E6" s="312"/>
      <c r="F6" s="312"/>
      <c r="G6" s="312"/>
      <c r="H6" s="312"/>
      <c r="I6" s="312"/>
      <c r="J6" s="313"/>
    </row>
    <row r="7" spans="1:10" ht="22.5">
      <c r="A7" s="192" t="s">
        <v>286</v>
      </c>
      <c r="B7" s="469"/>
      <c r="C7" s="469"/>
      <c r="D7" s="469"/>
      <c r="E7" s="469"/>
      <c r="F7" s="469"/>
      <c r="G7" s="469"/>
      <c r="H7" s="470">
        <v>1</v>
      </c>
      <c r="I7" s="471"/>
      <c r="J7" s="471"/>
    </row>
    <row r="8" spans="1:10" s="30" customFormat="1" ht="12.75">
      <c r="A8" s="480" t="s">
        <v>97</v>
      </c>
      <c r="B8" s="483">
        <v>2018</v>
      </c>
      <c r="C8" s="484"/>
      <c r="D8" s="485"/>
      <c r="E8" s="483">
        <f>B8+1</f>
        <v>2019</v>
      </c>
      <c r="F8" s="484"/>
      <c r="G8" s="485"/>
      <c r="H8" s="483">
        <f>E8+1</f>
        <v>2020</v>
      </c>
      <c r="I8" s="484"/>
      <c r="J8" s="485"/>
    </row>
    <row r="9" spans="1:10" ht="15.75" customHeight="1">
      <c r="A9" s="481"/>
      <c r="B9" s="314" t="s">
        <v>98</v>
      </c>
      <c r="C9" s="315" t="s">
        <v>98</v>
      </c>
      <c r="D9" s="315" t="s">
        <v>99</v>
      </c>
      <c r="E9" s="315" t="s">
        <v>98</v>
      </c>
      <c r="F9" s="315" t="s">
        <v>98</v>
      </c>
      <c r="G9" s="315" t="s">
        <v>99</v>
      </c>
      <c r="H9" s="315" t="s">
        <v>98</v>
      </c>
      <c r="I9" s="315" t="s">
        <v>98</v>
      </c>
      <c r="J9" s="316" t="s">
        <v>99</v>
      </c>
    </row>
    <row r="10" spans="1:10" ht="15.75" customHeight="1">
      <c r="A10" s="481"/>
      <c r="B10" s="317" t="s">
        <v>100</v>
      </c>
      <c r="C10" s="318" t="s">
        <v>101</v>
      </c>
      <c r="D10" s="318" t="s">
        <v>102</v>
      </c>
      <c r="E10" s="318" t="s">
        <v>100</v>
      </c>
      <c r="F10" s="318" t="s">
        <v>101</v>
      </c>
      <c r="G10" s="318" t="s">
        <v>103</v>
      </c>
      <c r="H10" s="318" t="s">
        <v>100</v>
      </c>
      <c r="I10" s="318" t="s">
        <v>101</v>
      </c>
      <c r="J10" s="319" t="s">
        <v>104</v>
      </c>
    </row>
    <row r="11" spans="1:10" ht="15.75" customHeight="1">
      <c r="A11" s="482"/>
      <c r="B11" s="320" t="s">
        <v>105</v>
      </c>
      <c r="C11" s="321"/>
      <c r="D11" s="322" t="s">
        <v>106</v>
      </c>
      <c r="E11" s="322" t="s">
        <v>107</v>
      </c>
      <c r="F11" s="321"/>
      <c r="G11" s="322" t="s">
        <v>106</v>
      </c>
      <c r="H11" s="322" t="s">
        <v>108</v>
      </c>
      <c r="I11" s="321"/>
      <c r="J11" s="323" t="s">
        <v>106</v>
      </c>
    </row>
    <row r="12" spans="1:10" ht="15">
      <c r="A12" s="324" t="s">
        <v>239</v>
      </c>
      <c r="B12" s="325">
        <f>Metas!B12-MetasRPPS!B12</f>
        <v>21092039.39720701</v>
      </c>
      <c r="C12" s="325">
        <f>B12/(1+Parâmetros!E11)</f>
        <v>19898150.374723595</v>
      </c>
      <c r="D12" s="326">
        <f>B12/(Parâmetros!E20)/1000000</f>
        <v>6.28674795743875E-05</v>
      </c>
      <c r="E12" s="325">
        <f>Metas!E12-MetasRPPS!E12</f>
        <v>22846765.866690964</v>
      </c>
      <c r="F12" s="325">
        <f>E12/((1+Parâmetros!E11)*(1+Parâmetros!F11))</f>
        <v>20625409.28653152</v>
      </c>
      <c r="G12" s="326">
        <f>E12/(Parâmetros!F20)/1000000</f>
        <v>6.809766279192537E-05</v>
      </c>
      <c r="H12" s="325">
        <f>Metas!H12-MetasRPPS!H12</f>
        <v>24680234.17415839</v>
      </c>
      <c r="I12" s="325">
        <f>H12/((1+Parâmetros!E11)*(1+Parâmetros!F11)*(1+Parâmetros!G11))</f>
        <v>21321160.034744516</v>
      </c>
      <c r="J12" s="326">
        <f>H12/(Parâmetros!G20)/1000000</f>
        <v>7.356254597364646E-05</v>
      </c>
    </row>
    <row r="13" spans="1:10" ht="15">
      <c r="A13" s="324" t="s">
        <v>176</v>
      </c>
      <c r="B13" s="325">
        <f>Metas!B13-MetasRPPS!B13</f>
        <v>20969848.35300701</v>
      </c>
      <c r="C13" s="325">
        <f>B13/(1+Parâmetros!E11)</f>
        <v>19782875.804723594</v>
      </c>
      <c r="D13" s="326">
        <f>B13/(Parâmetros!E20)/1000000</f>
        <v>6.250327377945459E-05</v>
      </c>
      <c r="E13" s="325">
        <f>Metas!E13-MetasRPPS!E13</f>
        <v>22718761.54348075</v>
      </c>
      <c r="F13" s="325">
        <f>E13/((1+Parâmetros!E11)*(1+Parâmetros!F11))</f>
        <v>20509850.630568523</v>
      </c>
      <c r="G13" s="326">
        <f>E13/(Parâmetros!F20)/1000000</f>
        <v>6.771612978682786E-05</v>
      </c>
      <c r="H13" s="325">
        <f>Metas!H13-MetasRPPS!H13</f>
        <v>24546138.809401564</v>
      </c>
      <c r="I13" s="325">
        <f>H13/((1+Parâmetros!E11)*(1+Parâmetros!F11)*(1+Parâmetros!G11))</f>
        <v>21205315.56132006</v>
      </c>
      <c r="J13" s="326">
        <f>H13/(Parâmetros!G20)/1000000</f>
        <v>7.316285785216562E-05</v>
      </c>
    </row>
    <row r="14" spans="1:10" ht="15">
      <c r="A14" s="324" t="s">
        <v>240</v>
      </c>
      <c r="B14" s="325">
        <f>Metas!B14-MetasRPPS!B14</f>
        <v>21092039.39720701</v>
      </c>
      <c r="C14" s="325">
        <f>B14/(1+Parâmetros!E11)</f>
        <v>19898150.374723595</v>
      </c>
      <c r="D14" s="326">
        <f>B14/(Parâmetros!E20)/1000000</f>
        <v>6.28674795743875E-05</v>
      </c>
      <c r="E14" s="325">
        <f>Metas!E14-MetasRPPS!E14</f>
        <v>22846765.866690964</v>
      </c>
      <c r="F14" s="325">
        <f>E14/((1+Parâmetros!E11)*(1+Parâmetros!F11))</f>
        <v>20625409.28653152</v>
      </c>
      <c r="G14" s="326">
        <f>E14/(Parâmetros!F20)/1000000</f>
        <v>6.809766279192537E-05</v>
      </c>
      <c r="H14" s="325">
        <f>Metas!H14-MetasRPPS!H14</f>
        <v>24680234.17415839</v>
      </c>
      <c r="I14" s="325">
        <f>H14/((1+Parâmetros!E11)*(1+Parâmetros!F11)*(1+Parâmetros!G11))</f>
        <v>21321160.034744516</v>
      </c>
      <c r="J14" s="326">
        <f>H14/(Parâmetros!G20)/1000000</f>
        <v>7.356254597364646E-05</v>
      </c>
    </row>
    <row r="15" spans="1:10" ht="15">
      <c r="A15" s="324" t="s">
        <v>241</v>
      </c>
      <c r="B15" s="325">
        <f>Metas!B15-MetasRPPS!B15</f>
        <v>20757095.70594301</v>
      </c>
      <c r="C15" s="325">
        <f>B15/(1+Parâmetros!E11)</f>
        <v>19582165.760323595</v>
      </c>
      <c r="D15" s="326">
        <f>B15/(Parâmetros!E20)/1000000</f>
        <v>6.186913772263192E-05</v>
      </c>
      <c r="E15" s="325">
        <f>Metas!E15-MetasRPPS!E15</f>
        <v>22452997.689648725</v>
      </c>
      <c r="F15" s="325">
        <f>E15/((1+Parâmetros!E11)*(1+Parâmetros!F11))</f>
        <v>20269926.595331524</v>
      </c>
      <c r="G15" s="326">
        <f>E15/(Parâmetros!F20)/1000000</f>
        <v>6.69239871524552E-05</v>
      </c>
      <c r="H15" s="325">
        <f>Metas!H15-MetasRPPS!H15</f>
        <v>24217310.461023107</v>
      </c>
      <c r="I15" s="325">
        <f>H15/((1+Parâmetros!E11)*(1+Parâmetros!F11)*(1+Parâmetros!G11))</f>
        <v>20921242.00714452</v>
      </c>
      <c r="J15" s="326">
        <f>H15/(Parâmetros!G20)/1000000</f>
        <v>7.218274354999436E-05</v>
      </c>
    </row>
    <row r="16" spans="1:10" ht="15">
      <c r="A16" s="324" t="s">
        <v>111</v>
      </c>
      <c r="B16" s="325">
        <f>B13-B15</f>
        <v>212752.64706400037</v>
      </c>
      <c r="C16" s="325">
        <f>C13-C15</f>
        <v>200710.04439999908</v>
      </c>
      <c r="D16" s="326">
        <f>B16/(Parâmetros!E20)/1000000</f>
        <v>6.341360568226539E-07</v>
      </c>
      <c r="E16" s="325">
        <f>E13-E15</f>
        <v>265763.8538320251</v>
      </c>
      <c r="F16" s="325">
        <f>F13-F15</f>
        <v>239924.0352369994</v>
      </c>
      <c r="G16" s="326">
        <f>E16/(Parâmetros!F20)/1000000</f>
        <v>7.92142634372653E-07</v>
      </c>
      <c r="H16" s="325">
        <f>H13-H15</f>
        <v>328828.3483784571</v>
      </c>
      <c r="I16" s="325">
        <f>I13-I15</f>
        <v>284073.5541755408</v>
      </c>
      <c r="J16" s="326">
        <f>H16/(Parâmetros!G20)/1000000</f>
        <v>9.801143021712581E-07</v>
      </c>
    </row>
    <row r="17" spans="1:10" ht="12.75">
      <c r="A17" s="479" t="s">
        <v>390</v>
      </c>
      <c r="B17" s="479"/>
      <c r="C17" s="479"/>
      <c r="D17" s="479"/>
      <c r="E17" s="479"/>
      <c r="F17" s="479"/>
      <c r="G17" s="479"/>
      <c r="H17" s="479"/>
      <c r="I17" s="479"/>
      <c r="J17" s="479"/>
    </row>
    <row r="18" s="92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2"/>
  <dimension ref="A1:G19"/>
  <sheetViews>
    <sheetView view="pageBreakPreview" zoomScaleNormal="90" zoomScaleSheetLayoutView="100" zoomScalePageLayoutView="0" workbookViewId="0" topLeftCell="A1">
      <selection activeCell="D58" sqref="D58"/>
    </sheetView>
  </sheetViews>
  <sheetFormatPr defaultColWidth="9.140625" defaultRowHeight="12.75"/>
  <cols>
    <col min="1" max="1" width="20.7109375" style="35" customWidth="1"/>
    <col min="2" max="2" width="20.140625" style="35" customWidth="1"/>
    <col min="3" max="3" width="11.00390625" style="35" customWidth="1"/>
    <col min="4" max="4" width="19.421875" style="35" customWidth="1"/>
    <col min="5" max="5" width="9.7109375" style="35" customWidth="1"/>
    <col min="6" max="6" width="15.140625" style="35" customWidth="1"/>
    <col min="7" max="7" width="13.00390625" style="35" customWidth="1"/>
    <col min="8" max="8" width="11.00390625" style="35" customWidth="1"/>
    <col min="9" max="16384" width="9.140625" style="35" customWidth="1"/>
  </cols>
  <sheetData>
    <row r="1" spans="1:7" ht="12.75">
      <c r="A1" s="502" t="str">
        <f>Parâmetros!A7</f>
        <v>Município de Barra do Quaraí</v>
      </c>
      <c r="B1" s="500"/>
      <c r="C1" s="500"/>
      <c r="D1" s="500"/>
      <c r="E1" s="500"/>
      <c r="F1" s="500"/>
      <c r="G1" s="501"/>
    </row>
    <row r="2" spans="1:7" ht="12.75">
      <c r="A2" s="499" t="s">
        <v>42</v>
      </c>
      <c r="B2" s="500"/>
      <c r="C2" s="500"/>
      <c r="D2" s="500"/>
      <c r="E2" s="500"/>
      <c r="F2" s="500"/>
      <c r="G2" s="501"/>
    </row>
    <row r="3" spans="1:7" ht="12.75">
      <c r="A3" s="499" t="s">
        <v>179</v>
      </c>
      <c r="B3" s="500"/>
      <c r="C3" s="500"/>
      <c r="D3" s="500"/>
      <c r="E3" s="500"/>
      <c r="F3" s="500"/>
      <c r="G3" s="501"/>
    </row>
    <row r="4" spans="1:7" ht="12.75">
      <c r="A4" s="503" t="s">
        <v>180</v>
      </c>
      <c r="B4" s="504"/>
      <c r="C4" s="504"/>
      <c r="D4" s="504"/>
      <c r="E4" s="504"/>
      <c r="F4" s="504"/>
      <c r="G4" s="505"/>
    </row>
    <row r="5" spans="1:7" ht="12.75">
      <c r="A5" s="499" t="s">
        <v>413</v>
      </c>
      <c r="B5" s="500"/>
      <c r="C5" s="500"/>
      <c r="D5" s="500"/>
      <c r="E5" s="500"/>
      <c r="F5" s="500"/>
      <c r="G5" s="501"/>
    </row>
    <row r="6" spans="1:7" ht="12.75">
      <c r="A6" s="499"/>
      <c r="B6" s="500"/>
      <c r="C6" s="500"/>
      <c r="D6" s="500"/>
      <c r="E6" s="500"/>
      <c r="F6" s="500"/>
      <c r="G6" s="501"/>
    </row>
    <row r="7" spans="1:7" ht="12.75" customHeight="1">
      <c r="A7" s="497" t="s">
        <v>287</v>
      </c>
      <c r="B7" s="498"/>
      <c r="C7" s="171"/>
      <c r="D7" s="171"/>
      <c r="E7" s="171"/>
      <c r="F7" s="486">
        <v>1</v>
      </c>
      <c r="G7" s="487"/>
    </row>
    <row r="8" spans="1:7" ht="10.5" customHeight="1">
      <c r="A8" s="488" t="s">
        <v>97</v>
      </c>
      <c r="B8" s="491" t="s">
        <v>163</v>
      </c>
      <c r="C8" s="491" t="s">
        <v>99</v>
      </c>
      <c r="D8" s="491" t="s">
        <v>164</v>
      </c>
      <c r="E8" s="491" t="s">
        <v>99</v>
      </c>
      <c r="F8" s="493" t="s">
        <v>115</v>
      </c>
      <c r="G8" s="494"/>
    </row>
    <row r="9" spans="1:7" ht="12.75" customHeight="1">
      <c r="A9" s="489"/>
      <c r="B9" s="492"/>
      <c r="C9" s="492"/>
      <c r="D9" s="492"/>
      <c r="E9" s="492"/>
      <c r="F9" s="495"/>
      <c r="G9" s="496"/>
    </row>
    <row r="10" spans="1:7" ht="22.5" customHeight="1">
      <c r="A10" s="490"/>
      <c r="B10" s="173" t="s">
        <v>430</v>
      </c>
      <c r="C10" s="173"/>
      <c r="D10" s="173" t="s">
        <v>431</v>
      </c>
      <c r="E10" s="173"/>
      <c r="F10" s="174" t="s">
        <v>171</v>
      </c>
      <c r="G10" s="172" t="s">
        <v>116</v>
      </c>
    </row>
    <row r="11" spans="1:7" ht="15">
      <c r="A11" s="282" t="s">
        <v>47</v>
      </c>
      <c r="B11" s="270">
        <f>Plano!E58</f>
        <v>17405414.2</v>
      </c>
      <c r="C11" s="271">
        <f>B11/(Parâmetros!C20)/1000000</f>
        <v>5.611807632908494E-05</v>
      </c>
      <c r="D11" s="283">
        <f>Plano!E29</f>
        <v>18379189.43</v>
      </c>
      <c r="E11" s="271">
        <f>D11/(Parâmetros!C20)/1000000</f>
        <v>5.9257696682647816E-05</v>
      </c>
      <c r="F11" s="284">
        <f aca="true" t="shared" si="0" ref="F11:F18">D11-B11</f>
        <v>973775.2300000004</v>
      </c>
      <c r="G11" s="285">
        <f>IF(B11=0,"-",(F11/B11))</f>
        <v>0.055946685256131425</v>
      </c>
    </row>
    <row r="12" spans="1:7" ht="15">
      <c r="A12" s="282" t="s">
        <v>181</v>
      </c>
      <c r="B12" s="270">
        <f>B11-(Plano!E59+Plano!E60+Plano!E61+Plano!E62)</f>
        <v>17395414.2</v>
      </c>
      <c r="C12" s="271">
        <f>B12/(Parâmetros!C20)/1000000</f>
        <v>5.6085834593447834E-05</v>
      </c>
      <c r="D12" s="283">
        <f>D11-(Plano!E9+Plano!E21+Plano!E22+Plano!E23)</f>
        <v>18142983.37</v>
      </c>
      <c r="E12" s="271">
        <f>D12/(Parâmetros!C20)/1000000</f>
        <v>5.849612734840742E-05</v>
      </c>
      <c r="F12" s="284">
        <f t="shared" si="0"/>
        <v>747569.1700000018</v>
      </c>
      <c r="G12" s="285">
        <f aca="true" t="shared" si="1" ref="G12:G18">IF(B12=0,"-",(F12/B12))</f>
        <v>0.042975071556502625</v>
      </c>
    </row>
    <row r="13" spans="1:7" ht="15">
      <c r="A13" s="282" t="s">
        <v>48</v>
      </c>
      <c r="B13" s="270">
        <f>Plano!E63</f>
        <v>17405414.2</v>
      </c>
      <c r="C13" s="271">
        <f>B13/(Parâmetros!C20)/1000000</f>
        <v>5.611807632908494E-05</v>
      </c>
      <c r="D13" s="283">
        <f>Plano!E55</f>
        <v>16853923.75</v>
      </c>
      <c r="E13" s="271">
        <f>D13/(Parâmetros!C20)/1000000</f>
        <v>5.433997539955571E-05</v>
      </c>
      <c r="F13" s="284">
        <f t="shared" si="0"/>
        <v>-551490.4499999993</v>
      </c>
      <c r="G13" s="285">
        <f t="shared" si="1"/>
        <v>-0.03168499431630873</v>
      </c>
    </row>
    <row r="14" spans="1:7" ht="15">
      <c r="A14" s="282" t="s">
        <v>182</v>
      </c>
      <c r="B14" s="270">
        <f>B13-(Plano!E64+Plano!E65+Plano!E66)</f>
        <v>17085414.2</v>
      </c>
      <c r="C14" s="271">
        <f>B14/(Parâmetros!C20)/1000000</f>
        <v>5.508634078869733E-05</v>
      </c>
      <c r="D14" s="283">
        <f>D13-(Plano!E37+Plano!E48+Plano!E50)</f>
        <v>16533923.75</v>
      </c>
      <c r="E14" s="271">
        <f>D14/(Parâmetros!C20)/1000000</f>
        <v>5.3308239859168096E-05</v>
      </c>
      <c r="F14" s="284">
        <f t="shared" si="0"/>
        <v>-551490.4499999993</v>
      </c>
      <c r="G14" s="285">
        <f t="shared" si="1"/>
        <v>-0.03227843607092647</v>
      </c>
    </row>
    <row r="15" spans="1:7" ht="15">
      <c r="A15" s="282" t="s">
        <v>117</v>
      </c>
      <c r="B15" s="270">
        <f>B12-B14</f>
        <v>310000</v>
      </c>
      <c r="C15" s="271">
        <f>B15/(Parâmetros!C20)/1000000</f>
        <v>9.994938047504973E-07</v>
      </c>
      <c r="D15" s="283">
        <f>D12-D14</f>
        <v>1609059.620000001</v>
      </c>
      <c r="E15" s="271">
        <f>D15/(Parâmetros!C20)/1000000</f>
        <v>5.187887489239325E-06</v>
      </c>
      <c r="F15" s="284">
        <f t="shared" si="0"/>
        <v>1299059.620000001</v>
      </c>
      <c r="G15" s="285">
        <f t="shared" si="1"/>
        <v>4.19051490322581</v>
      </c>
    </row>
    <row r="16" spans="1:7" ht="15" customHeight="1">
      <c r="A16" s="282" t="s">
        <v>43</v>
      </c>
      <c r="B16" s="286">
        <v>0</v>
      </c>
      <c r="C16" s="271">
        <f>B16/(Parâmetros!C20)/1000000</f>
        <v>0</v>
      </c>
      <c r="D16" s="283">
        <f>Dívida!C12</f>
        <v>0</v>
      </c>
      <c r="E16" s="271">
        <f>D16/(Parâmetros!C20)/1000000</f>
        <v>0</v>
      </c>
      <c r="F16" s="284">
        <f t="shared" si="0"/>
        <v>0</v>
      </c>
      <c r="G16" s="285" t="str">
        <f t="shared" si="1"/>
        <v>-</v>
      </c>
    </row>
    <row r="17" spans="1:7" ht="27" customHeight="1">
      <c r="A17" s="282" t="s">
        <v>118</v>
      </c>
      <c r="B17" s="286">
        <v>0</v>
      </c>
      <c r="C17" s="271">
        <f>B17/(Parâmetros!C20)/1000000</f>
        <v>0</v>
      </c>
      <c r="D17" s="283">
        <f>Dívida!C7</f>
        <v>5988.12</v>
      </c>
      <c r="E17" s="271">
        <f>D17/(Parâmetros!C20)/1000000</f>
        <v>1.93067382003308E-08</v>
      </c>
      <c r="F17" s="284">
        <f t="shared" si="0"/>
        <v>5988.12</v>
      </c>
      <c r="G17" s="285" t="str">
        <f t="shared" si="1"/>
        <v>-</v>
      </c>
    </row>
    <row r="18" spans="1:7" ht="28.5" customHeight="1">
      <c r="A18" s="282" t="s">
        <v>119</v>
      </c>
      <c r="B18" s="286">
        <v>0</v>
      </c>
      <c r="C18" s="271">
        <f>B18/(Parâmetros!C20)/1000000</f>
        <v>0</v>
      </c>
      <c r="D18" s="283">
        <f>Dívida!C9</f>
        <v>0</v>
      </c>
      <c r="E18" s="271">
        <f>D18/(Parâmetros!C20)/1000000</f>
        <v>0</v>
      </c>
      <c r="F18" s="284">
        <f t="shared" si="0"/>
        <v>0</v>
      </c>
      <c r="G18" s="285" t="str">
        <f t="shared" si="1"/>
        <v>-</v>
      </c>
    </row>
    <row r="19" spans="1:7" ht="12.75">
      <c r="A19" s="468" t="s">
        <v>391</v>
      </c>
      <c r="B19" s="468"/>
      <c r="C19" s="468"/>
      <c r="D19" s="468"/>
      <c r="E19" s="468"/>
      <c r="F19" s="468"/>
      <c r="G19" s="468"/>
    </row>
  </sheetData>
  <sheetProtection/>
  <mergeCells count="15">
    <mergeCell ref="A5:G5"/>
    <mergeCell ref="A6:G6"/>
    <mergeCell ref="A1:G1"/>
    <mergeCell ref="A2:G2"/>
    <mergeCell ref="A3:G3"/>
    <mergeCell ref="A4:G4"/>
    <mergeCell ref="A19:G19"/>
    <mergeCell ref="F7:G7"/>
    <mergeCell ref="A8:A10"/>
    <mergeCell ref="B8:B9"/>
    <mergeCell ref="C8:C9"/>
    <mergeCell ref="D8:D9"/>
    <mergeCell ref="E8:E9"/>
    <mergeCell ref="F8:G9"/>
    <mergeCell ref="A7:B7"/>
  </mergeCells>
  <printOptions/>
  <pageMargins left="0.787401575" right="0.787401575" top="0.984251969" bottom="0.984251969" header="0.492125985" footer="0.492125985"/>
  <pageSetup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25.28125" style="35" customWidth="1"/>
    <col min="2" max="2" width="14.28125" style="35" customWidth="1"/>
    <col min="3" max="3" width="14.7109375" style="35" customWidth="1"/>
    <col min="4" max="4" width="10.28125" style="35" customWidth="1"/>
    <col min="5" max="5" width="14.28125" style="35" customWidth="1"/>
    <col min="6" max="6" width="10.28125" style="35" customWidth="1"/>
    <col min="7" max="7" width="14.140625" style="35" customWidth="1"/>
    <col min="8" max="8" width="11.00390625" style="35" customWidth="1"/>
    <col min="9" max="9" width="13.140625" style="35" customWidth="1"/>
    <col min="10" max="10" width="10.7109375" style="35" customWidth="1"/>
    <col min="11" max="11" width="12.8515625" style="35" customWidth="1"/>
    <col min="12" max="12" width="9.7109375" style="35" customWidth="1"/>
    <col min="13" max="16384" width="9.140625" style="35" customWidth="1"/>
  </cols>
  <sheetData>
    <row r="1" spans="1:12" ht="12.75" customHeight="1">
      <c r="A1" s="519" t="str">
        <f>Parâmetros!A7</f>
        <v>Município de Barra do Quaraí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1"/>
    </row>
    <row r="2" spans="1:12" ht="12.75">
      <c r="A2" s="522" t="s">
        <v>42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1"/>
    </row>
    <row r="3" spans="1:12" ht="12.75">
      <c r="A3" s="522" t="s">
        <v>179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1"/>
    </row>
    <row r="4" spans="1:12" ht="12.75">
      <c r="A4" s="523" t="s">
        <v>183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5"/>
    </row>
    <row r="5" spans="1:12" ht="12.75">
      <c r="A5" s="522" t="s">
        <v>413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1"/>
    </row>
    <row r="6" spans="1:12" ht="12.75">
      <c r="A6" s="522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1"/>
    </row>
    <row r="7" spans="1:12" ht="12.75">
      <c r="A7" s="517" t="s">
        <v>288</v>
      </c>
      <c r="B7" s="518"/>
      <c r="C7" s="177"/>
      <c r="D7" s="177"/>
      <c r="E7" s="177"/>
      <c r="F7" s="177"/>
      <c r="G7" s="177"/>
      <c r="H7" s="177"/>
      <c r="I7" s="177"/>
      <c r="J7" s="177"/>
      <c r="K7" s="177"/>
      <c r="L7" s="178">
        <v>1</v>
      </c>
    </row>
    <row r="8" spans="1:12" ht="15.75" customHeight="1">
      <c r="A8" s="169" t="s">
        <v>97</v>
      </c>
      <c r="B8" s="512" t="s">
        <v>120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</row>
    <row r="9" spans="1:12" s="37" customFormat="1" ht="15.75" customHeight="1">
      <c r="A9" s="513"/>
      <c r="B9" s="515">
        <v>2015</v>
      </c>
      <c r="C9" s="515">
        <f>B9+1</f>
        <v>2016</v>
      </c>
      <c r="D9" s="515" t="s">
        <v>173</v>
      </c>
      <c r="E9" s="515">
        <f>C9+1</f>
        <v>2017</v>
      </c>
      <c r="F9" s="515" t="s">
        <v>173</v>
      </c>
      <c r="G9" s="506">
        <f>E9+1</f>
        <v>2018</v>
      </c>
      <c r="H9" s="506" t="s">
        <v>173</v>
      </c>
      <c r="I9" s="506">
        <f>G9+1</f>
        <v>2019</v>
      </c>
      <c r="J9" s="506" t="s">
        <v>174</v>
      </c>
      <c r="K9" s="506">
        <f>I9+1</f>
        <v>2020</v>
      </c>
      <c r="L9" s="509" t="s">
        <v>173</v>
      </c>
    </row>
    <row r="10" spans="1:12" s="37" customFormat="1" ht="15.75" customHeight="1">
      <c r="A10" s="514"/>
      <c r="B10" s="516"/>
      <c r="C10" s="516"/>
      <c r="D10" s="516"/>
      <c r="E10" s="516"/>
      <c r="F10" s="516"/>
      <c r="G10" s="507"/>
      <c r="H10" s="507"/>
      <c r="I10" s="507"/>
      <c r="J10" s="507"/>
      <c r="K10" s="507"/>
      <c r="L10" s="510"/>
    </row>
    <row r="11" spans="1:12" ht="12.75">
      <c r="A11" s="108" t="s">
        <v>121</v>
      </c>
      <c r="B11" s="179">
        <f>Plano!D58</f>
        <v>16048755.29</v>
      </c>
      <c r="C11" s="179">
        <f>Plano!E58</f>
        <v>17405414.2</v>
      </c>
      <c r="D11" s="180">
        <f aca="true" t="shared" si="0" ref="D11:D18">IF(B11=0,"0",(C11/B11)-1)</f>
        <v>0.08453359064209387</v>
      </c>
      <c r="E11" s="179">
        <f>Plano!F58</f>
        <v>19466388</v>
      </c>
      <c r="F11" s="180">
        <f aca="true" t="shared" si="1" ref="F11:F18">IF(C11=0,"0",(E11/C11)-1)</f>
        <v>0.1184099255736184</v>
      </c>
      <c r="G11" s="181">
        <f>IF(Metas!B12=0,"0",(Metas!B12))</f>
        <v>21092039.39720701</v>
      </c>
      <c r="H11" s="182">
        <f>IF(E11=0,"0",(G11/E11)-1)</f>
        <v>0.08351068504372816</v>
      </c>
      <c r="I11" s="181">
        <f>IF(Metas!E12=0,"0",(Metas!E12))</f>
        <v>22846765.866690964</v>
      </c>
      <c r="J11" s="180">
        <f>IF(G11=0,"-",(I11/G11)-1)</f>
        <v>0.08319377924717486</v>
      </c>
      <c r="K11" s="181">
        <f>IF(Metas!H12=0,"0",(Metas!H12))</f>
        <v>24680234.17415839</v>
      </c>
      <c r="L11" s="180">
        <f>IF(I11=0,"-",(K11/I11)-1)</f>
        <v>0.08025067172157185</v>
      </c>
    </row>
    <row r="12" spans="1:12" ht="12.75">
      <c r="A12" s="108" t="s">
        <v>186</v>
      </c>
      <c r="B12" s="179">
        <f>B11-(Plano!D59+Plano!D60+Plano!D61+Plano!D62)</f>
        <v>16022755.29</v>
      </c>
      <c r="C12" s="179">
        <f>C11-(Plano!E59+Plano!E60+Plano!E61+Plano!E62)</f>
        <v>17395414.2</v>
      </c>
      <c r="D12" s="180">
        <f t="shared" si="0"/>
        <v>0.0856693424542716</v>
      </c>
      <c r="E12" s="179">
        <f>E11-(Plano!F59+Plano!F60+Plano!F61+Plano!F62)</f>
        <v>19455688</v>
      </c>
      <c r="F12" s="180">
        <f t="shared" si="1"/>
        <v>0.11843775470434048</v>
      </c>
      <c r="G12" s="181">
        <f>IF(Metas!B13=0,"0",(Metas!B13))</f>
        <v>20969848.35300701</v>
      </c>
      <c r="H12" s="182">
        <f aca="true" t="shared" si="2" ref="H12:H18">IF(E12=0,"0",(G12/E12)-1)</f>
        <v>0.07782610170388282</v>
      </c>
      <c r="I12" s="181">
        <f>IF(Metas!E13=0,"0",(Metas!E13))</f>
        <v>22718761.54348075</v>
      </c>
      <c r="J12" s="180">
        <f aca="true" t="shared" si="3" ref="J12:J18">IF(G12=0,"-",(I12/G12)-1)</f>
        <v>0.08340132751713258</v>
      </c>
      <c r="K12" s="181">
        <f>IF(Metas!H13=0,"0",(Metas!H13))</f>
        <v>24546138.809401564</v>
      </c>
      <c r="L12" s="180">
        <f aca="true" t="shared" si="4" ref="L12:L18">IF(I12=0,"-",(K12/I12)-1)</f>
        <v>0.08043472186736289</v>
      </c>
    </row>
    <row r="13" spans="1:12" ht="12.75">
      <c r="A13" s="108" t="s">
        <v>122</v>
      </c>
      <c r="B13" s="179">
        <f>Plano!D63</f>
        <v>16048755.29</v>
      </c>
      <c r="C13" s="179">
        <f>Plano!E63</f>
        <v>17405414.2</v>
      </c>
      <c r="D13" s="180">
        <f t="shared" si="0"/>
        <v>0.08453359064209387</v>
      </c>
      <c r="E13" s="179">
        <f>Plano!F63</f>
        <v>19466388</v>
      </c>
      <c r="F13" s="180">
        <f t="shared" si="1"/>
        <v>0.1184099255736184</v>
      </c>
      <c r="G13" s="181">
        <f>IF(Metas!B14=0,"0",(Metas!B14))</f>
        <v>21092039.39720701</v>
      </c>
      <c r="H13" s="182">
        <f t="shared" si="2"/>
        <v>0.08351068504372816</v>
      </c>
      <c r="I13" s="181">
        <f>IF(Metas!E14=0,"0",(Metas!E14))</f>
        <v>22846765.866690964</v>
      </c>
      <c r="J13" s="180">
        <f t="shared" si="3"/>
        <v>0.08319377924717486</v>
      </c>
      <c r="K13" s="181">
        <f>IF(Metas!H14=0,"0",(Metas!H14))</f>
        <v>24680234.17415839</v>
      </c>
      <c r="L13" s="180">
        <f t="shared" si="4"/>
        <v>0.08025067172157185</v>
      </c>
    </row>
    <row r="14" spans="1:12" ht="12.75">
      <c r="A14" s="108" t="s">
        <v>177</v>
      </c>
      <c r="B14" s="179">
        <f>B13-(Plano!D64+Plano!D65+Plano!D66)</f>
        <v>15628755.29</v>
      </c>
      <c r="C14" s="179">
        <f>C13-(Plano!E64+Plano!E65+Plano!E66)</f>
        <v>17085414.2</v>
      </c>
      <c r="D14" s="180">
        <f t="shared" si="0"/>
        <v>0.09320376978018441</v>
      </c>
      <c r="E14" s="179">
        <f>E13-(Plano!F64+Plano!F65+Plano!F66)</f>
        <v>19146388</v>
      </c>
      <c r="F14" s="180">
        <f t="shared" si="1"/>
        <v>0.12062767550581244</v>
      </c>
      <c r="G14" s="181">
        <f>IF(Metas!B15=0,"0",(Metas!B15))</f>
        <v>20757095.70594301</v>
      </c>
      <c r="H14" s="182">
        <f t="shared" si="2"/>
        <v>0.0841259304858446</v>
      </c>
      <c r="I14" s="181">
        <f>IF(Metas!E15=0,"0",(Metas!E15))</f>
        <v>22452997.689648725</v>
      </c>
      <c r="J14" s="180">
        <f t="shared" si="3"/>
        <v>0.08170227703002575</v>
      </c>
      <c r="K14" s="181">
        <f>IF(Metas!H15=0,"0",(Metas!H15))</f>
        <v>24217310.461023107</v>
      </c>
      <c r="L14" s="180">
        <f t="shared" si="4"/>
        <v>0.07857804983375405</v>
      </c>
    </row>
    <row r="15" spans="1:12" ht="12.75">
      <c r="A15" s="108" t="s">
        <v>123</v>
      </c>
      <c r="B15" s="179">
        <f>B12-B14</f>
        <v>394000</v>
      </c>
      <c r="C15" s="179">
        <f>C12-C14</f>
        <v>310000</v>
      </c>
      <c r="D15" s="180">
        <f t="shared" si="0"/>
        <v>-0.21319796954314718</v>
      </c>
      <c r="E15" s="179">
        <f>E12-E14</f>
        <v>309300</v>
      </c>
      <c r="F15" s="180">
        <f t="shared" si="1"/>
        <v>-0.002258064516128977</v>
      </c>
      <c r="G15" s="181">
        <f>IF(Metas!B16=0,"0",(Metas!B16))</f>
        <v>212752.64706400037</v>
      </c>
      <c r="H15" s="182">
        <f t="shared" si="2"/>
        <v>-0.3121479241383758</v>
      </c>
      <c r="I15" s="181">
        <f>IF(Metas!E16=0,"0",(Metas!E16))</f>
        <v>265763.8538320251</v>
      </c>
      <c r="J15" s="180">
        <f t="shared" si="3"/>
        <v>0.24916825947682741</v>
      </c>
      <c r="K15" s="181">
        <f>IF(Metas!H16=0,"0",(Metas!H16))</f>
        <v>328828.3483784571</v>
      </c>
      <c r="L15" s="180">
        <f t="shared" si="4"/>
        <v>0.23729522896778765</v>
      </c>
    </row>
    <row r="16" spans="1:12" ht="12.75">
      <c r="A16" s="108" t="s">
        <v>124</v>
      </c>
      <c r="B16" s="141">
        <v>0</v>
      </c>
      <c r="C16" s="141">
        <f>' Avaliação'!B16</f>
        <v>0</v>
      </c>
      <c r="D16" s="180" t="str">
        <f t="shared" si="0"/>
        <v>0</v>
      </c>
      <c r="E16" s="141">
        <v>0</v>
      </c>
      <c r="F16" s="180" t="str">
        <f t="shared" si="1"/>
        <v>0</v>
      </c>
      <c r="G16" s="181">
        <f>IF(Metas!B17=0,"0",(Metas!B17))</f>
        <v>-1658586.2673973336</v>
      </c>
      <c r="H16" s="182" t="str">
        <f t="shared" si="2"/>
        <v>0</v>
      </c>
      <c r="I16" s="181">
        <f>IF(Metas!E17=0,"0",(Metas!E17))</f>
        <v>-377340.96116135106</v>
      </c>
      <c r="J16" s="180">
        <f t="shared" si="3"/>
        <v>-0.7724924120145542</v>
      </c>
      <c r="K16" s="181">
        <f>IF(Metas!H17=0,"0",(Metas!H17))</f>
        <v>-542425.8867977117</v>
      </c>
      <c r="L16" s="180">
        <f t="shared" si="4"/>
        <v>0.43749537587511034</v>
      </c>
    </row>
    <row r="17" spans="1:12" ht="12.75">
      <c r="A17" s="108" t="s">
        <v>125</v>
      </c>
      <c r="B17" s="141">
        <v>0</v>
      </c>
      <c r="C17" s="141">
        <f>' Avaliação'!B17</f>
        <v>0</v>
      </c>
      <c r="D17" s="180" t="str">
        <f t="shared" si="0"/>
        <v>0</v>
      </c>
      <c r="E17" s="141">
        <v>0</v>
      </c>
      <c r="F17" s="180" t="str">
        <f t="shared" si="1"/>
        <v>0</v>
      </c>
      <c r="G17" s="181">
        <f>IF(Metas!B18=0,"0",(Metas!B18))</f>
        <v>-251711.38406400007</v>
      </c>
      <c r="H17" s="182" t="str">
        <f t="shared" si="2"/>
        <v>0</v>
      </c>
      <c r="I17" s="181">
        <f>IF(Metas!E18=0,"0",(Metas!E18))</f>
        <v>-676943.4841142402</v>
      </c>
      <c r="J17" s="180">
        <f t="shared" si="3"/>
        <v>1.6893637990648873</v>
      </c>
      <c r="K17" s="181">
        <f>IF(Metas!H18=0,"0",(Metas!H18))</f>
        <v>-1224485.1327638037</v>
      </c>
      <c r="L17" s="180">
        <f t="shared" si="4"/>
        <v>0.8088439603876312</v>
      </c>
    </row>
    <row r="18" spans="1:12" ht="12.75">
      <c r="A18" s="183" t="s">
        <v>119</v>
      </c>
      <c r="B18" s="142">
        <v>0</v>
      </c>
      <c r="C18" s="142">
        <f>' Avaliação'!B18</f>
        <v>0</v>
      </c>
      <c r="D18" s="180" t="str">
        <f t="shared" si="0"/>
        <v>0</v>
      </c>
      <c r="E18" s="142">
        <v>0</v>
      </c>
      <c r="F18" s="180" t="str">
        <f t="shared" si="1"/>
        <v>0</v>
      </c>
      <c r="G18" s="181">
        <f>IF(Metas!B19=0,"0",(Metas!B19))</f>
        <v>-1658586.2673973336</v>
      </c>
      <c r="H18" s="182" t="str">
        <f t="shared" si="2"/>
        <v>0</v>
      </c>
      <c r="I18" s="181">
        <f>IF(Metas!E19=0,"0",(Metas!E19))</f>
        <v>-2035927.2285586847</v>
      </c>
      <c r="J18" s="180">
        <f t="shared" si="3"/>
        <v>0.2275075879854458</v>
      </c>
      <c r="K18" s="181">
        <f>IF(Metas!H19=0,"0",(Metas!H19))</f>
        <v>-2578353.1153563964</v>
      </c>
      <c r="L18" s="180">
        <f t="shared" si="4"/>
        <v>0.26642695239245695</v>
      </c>
    </row>
    <row r="19" spans="1:12" ht="12.75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</row>
    <row r="20" spans="1:12" ht="15.75" customHeight="1">
      <c r="A20" s="170" t="s">
        <v>97</v>
      </c>
      <c r="B20" s="512" t="s">
        <v>126</v>
      </c>
      <c r="C20" s="511"/>
      <c r="D20" s="511"/>
      <c r="E20" s="511"/>
      <c r="F20" s="511"/>
      <c r="G20" s="511"/>
      <c r="H20" s="511"/>
      <c r="I20" s="511"/>
      <c r="J20" s="511"/>
      <c r="K20" s="511"/>
      <c r="L20" s="511"/>
    </row>
    <row r="21" spans="1:12" s="37" customFormat="1" ht="15.75" customHeight="1">
      <c r="A21" s="513"/>
      <c r="B21" s="515">
        <v>2015</v>
      </c>
      <c r="C21" s="515">
        <f>B21+1</f>
        <v>2016</v>
      </c>
      <c r="D21" s="515" t="s">
        <v>173</v>
      </c>
      <c r="E21" s="515">
        <f>C21+1</f>
        <v>2017</v>
      </c>
      <c r="F21" s="506" t="s">
        <v>173</v>
      </c>
      <c r="G21" s="506">
        <f>E21+1</f>
        <v>2018</v>
      </c>
      <c r="H21" s="506" t="s">
        <v>173</v>
      </c>
      <c r="I21" s="506">
        <f>G21+1</f>
        <v>2019</v>
      </c>
      <c r="J21" s="506" t="s">
        <v>173</v>
      </c>
      <c r="K21" s="506">
        <f>I21+1</f>
        <v>2020</v>
      </c>
      <c r="L21" s="509" t="s">
        <v>173</v>
      </c>
    </row>
    <row r="22" spans="1:12" s="37" customFormat="1" ht="15.75" customHeight="1">
      <c r="A22" s="514"/>
      <c r="B22" s="516"/>
      <c r="C22" s="516"/>
      <c r="D22" s="516"/>
      <c r="E22" s="516"/>
      <c r="F22" s="507"/>
      <c r="G22" s="507"/>
      <c r="H22" s="507"/>
      <c r="I22" s="507"/>
      <c r="J22" s="507"/>
      <c r="K22" s="507"/>
      <c r="L22" s="510"/>
    </row>
    <row r="23" spans="1:12" ht="12.75">
      <c r="A23" s="108" t="s">
        <v>121</v>
      </c>
      <c r="B23" s="181">
        <f>B11*((1+Parâmetros!C11)*(1+Parâmetros!D11))</f>
        <v>17854199.175311454</v>
      </c>
      <c r="C23" s="179">
        <f>C11*(1+Parâmetros!D11)</f>
        <v>18364452.522419997</v>
      </c>
      <c r="D23" s="180">
        <f>IF(B23=0,"-",(C23/B23)-1)</f>
        <v>0.02857889856040785</v>
      </c>
      <c r="E23" s="179">
        <f>E11</f>
        <v>19466388</v>
      </c>
      <c r="F23" s="180">
        <f>IF(C23=0,"-",(E23/C23)-1)</f>
        <v>0.060003720570200425</v>
      </c>
      <c r="G23" s="181">
        <f>Metas!C12</f>
        <v>19898150.374723595</v>
      </c>
      <c r="H23" s="180">
        <f>IF(E23=0,"-",(G23/E23)-1)</f>
        <v>0.022179891550687003</v>
      </c>
      <c r="I23" s="181">
        <f>Metas!F12</f>
        <v>20625409.28653152</v>
      </c>
      <c r="J23" s="180">
        <f>IF(G23=0,"-",(I23/G23)-1)</f>
        <v>0.036549071049928106</v>
      </c>
      <c r="K23" s="181">
        <f>Metas!I12</f>
        <v>21321160.034744516</v>
      </c>
      <c r="L23" s="180">
        <f>IF(I23=0,"-",(K23/I23)-1)</f>
        <v>0.03373270021203045</v>
      </c>
    </row>
    <row r="24" spans="1:12" ht="12.75">
      <c r="A24" s="108" t="s">
        <v>186</v>
      </c>
      <c r="B24" s="181">
        <f>B12*((1+Parâmetros!C11)*(1+Parâmetros!D11))</f>
        <v>17825274.241871454</v>
      </c>
      <c r="C24" s="179">
        <f>C12*(1+Parâmetros!D11)</f>
        <v>18353901.522419997</v>
      </c>
      <c r="D24" s="180">
        <f aca="true" t="shared" si="5" ref="D24:D30">IF(B24=0,"-",(C24/B24)-1)</f>
        <v>0.0296560531622454</v>
      </c>
      <c r="E24" s="179">
        <f>E12</f>
        <v>19455688</v>
      </c>
      <c r="F24" s="180">
        <f>IF(C24=0,"-",(E24/C24)-1)</f>
        <v>0.06003009639308177</v>
      </c>
      <c r="G24" s="184">
        <f>Metas!C13</f>
        <v>19782875.804723594</v>
      </c>
      <c r="H24" s="180">
        <f aca="true" t="shared" si="6" ref="H24:H30">IF(E24=0,"-",(G24/E24)-1)</f>
        <v>0.016817077079134712</v>
      </c>
      <c r="I24" s="184">
        <f>Metas!F13</f>
        <v>20509850.630568523</v>
      </c>
      <c r="J24" s="180">
        <f aca="true" t="shared" si="7" ref="J24:J30">IF(G24=0,"-",(I24/G24)-1)</f>
        <v>0.03674768183457666</v>
      </c>
      <c r="K24" s="184">
        <f>Metas!I13</f>
        <v>21205315.56132006</v>
      </c>
      <c r="L24" s="180">
        <f aca="true" t="shared" si="8" ref="L24:L30">IF(I24=0,"-",(K24/I24)-1)</f>
        <v>0.033908824753457356</v>
      </c>
    </row>
    <row r="25" spans="1:12" ht="12.75">
      <c r="A25" s="108" t="s">
        <v>122</v>
      </c>
      <c r="B25" s="181">
        <f>B13*((1+Parâmetros!C11)*(1+Parâmetros!D11))</f>
        <v>17854199.175311454</v>
      </c>
      <c r="C25" s="179">
        <f>C13*(1+Parâmetros!D11)</f>
        <v>18364452.522419997</v>
      </c>
      <c r="D25" s="180">
        <f t="shared" si="5"/>
        <v>0.02857889856040785</v>
      </c>
      <c r="E25" s="179">
        <f>E13</f>
        <v>19466388</v>
      </c>
      <c r="F25" s="180">
        <f aca="true" t="shared" si="9" ref="F25:F30">IF(C25=0,"-",(E25/C25)-1)</f>
        <v>0.060003720570200425</v>
      </c>
      <c r="G25" s="184">
        <f>Metas!C14</f>
        <v>19898150.374723595</v>
      </c>
      <c r="H25" s="180">
        <f t="shared" si="6"/>
        <v>0.022179891550687003</v>
      </c>
      <c r="I25" s="184">
        <f>Metas!F14</f>
        <v>20625409.28653152</v>
      </c>
      <c r="J25" s="180">
        <f t="shared" si="7"/>
        <v>0.036549071049928106</v>
      </c>
      <c r="K25" s="184">
        <f>Metas!I14</f>
        <v>21321160.034744516</v>
      </c>
      <c r="L25" s="180">
        <f t="shared" si="8"/>
        <v>0.03373270021203045</v>
      </c>
    </row>
    <row r="26" spans="1:12" ht="12.75">
      <c r="A26" s="108" t="s">
        <v>177</v>
      </c>
      <c r="B26" s="181">
        <f>B14*((1+Parâmetros!C11)*(1+Parâmetros!D11))</f>
        <v>17386950.250511453</v>
      </c>
      <c r="C26" s="179">
        <f>C14*(1+Parâmetros!D11)</f>
        <v>18026820.522419997</v>
      </c>
      <c r="D26" s="180">
        <f t="shared" si="5"/>
        <v>0.03680175434387767</v>
      </c>
      <c r="E26" s="179">
        <f>E14</f>
        <v>19146388</v>
      </c>
      <c r="F26" s="180">
        <f t="shared" si="9"/>
        <v>0.062105653971957775</v>
      </c>
      <c r="G26" s="184">
        <f>Metas!C15</f>
        <v>19582165.760323595</v>
      </c>
      <c r="H26" s="180">
        <f t="shared" si="6"/>
        <v>0.022760311779098874</v>
      </c>
      <c r="I26" s="184">
        <f>Metas!F15</f>
        <v>20269926.595331524</v>
      </c>
      <c r="J26" s="180">
        <f t="shared" si="7"/>
        <v>0.03512179620098177</v>
      </c>
      <c r="K26" s="184">
        <f>Metas!I15</f>
        <v>20921242.00714452</v>
      </c>
      <c r="L26" s="180">
        <f t="shared" si="8"/>
        <v>0.03213210510407083</v>
      </c>
    </row>
    <row r="27" spans="1:12" ht="12.75">
      <c r="A27" s="108" t="s">
        <v>123</v>
      </c>
      <c r="B27" s="181">
        <f>B24-B26</f>
        <v>438323.99136000127</v>
      </c>
      <c r="C27" s="184">
        <f>C24-C26</f>
        <v>327081</v>
      </c>
      <c r="D27" s="180">
        <f t="shared" si="5"/>
        <v>-0.25379170100829807</v>
      </c>
      <c r="E27" s="184">
        <f>E24-E26</f>
        <v>309300</v>
      </c>
      <c r="F27" s="180">
        <f t="shared" si="9"/>
        <v>-0.05436268080383755</v>
      </c>
      <c r="G27" s="184">
        <f>Metas!C16</f>
        <v>200710.04439999908</v>
      </c>
      <c r="H27" s="180">
        <f t="shared" si="6"/>
        <v>-0.3510829473003586</v>
      </c>
      <c r="I27" s="184">
        <f>Metas!F16</f>
        <v>239924.0352369994</v>
      </c>
      <c r="J27" s="180">
        <f t="shared" si="7"/>
        <v>0.19537632485821166</v>
      </c>
      <c r="K27" s="184">
        <f>Metas!I16</f>
        <v>284073.5541755408</v>
      </c>
      <c r="L27" s="180">
        <f t="shared" si="8"/>
        <v>0.1840145731749221</v>
      </c>
    </row>
    <row r="28" spans="1:12" ht="12.75">
      <c r="A28" s="108" t="s">
        <v>124</v>
      </c>
      <c r="B28" s="181">
        <f>B16*((1+Parâmetros!C11)*(1+Parâmetros!D11))</f>
        <v>0</v>
      </c>
      <c r="C28" s="179">
        <f>C16*(1+Parâmetros!D11)</f>
        <v>0</v>
      </c>
      <c r="D28" s="180" t="str">
        <f t="shared" si="5"/>
        <v>-</v>
      </c>
      <c r="E28" s="179">
        <f>E16</f>
        <v>0</v>
      </c>
      <c r="F28" s="180" t="str">
        <f t="shared" si="9"/>
        <v>-</v>
      </c>
      <c r="G28" s="184">
        <f>Metas!C17</f>
        <v>-1564704.0258465412</v>
      </c>
      <c r="H28" s="180" t="str">
        <f t="shared" si="6"/>
        <v>-</v>
      </c>
      <c r="I28" s="184">
        <f>Metas!F17</f>
        <v>-340652.6687382424</v>
      </c>
      <c r="J28" s="180">
        <f t="shared" si="7"/>
        <v>-0.7822893894876116</v>
      </c>
      <c r="K28" s="184">
        <f>Metas!I17</f>
        <v>-468599.6517614729</v>
      </c>
      <c r="L28" s="180">
        <f t="shared" si="8"/>
        <v>0.3755936611245074</v>
      </c>
    </row>
    <row r="29" spans="1:12" ht="12.75">
      <c r="A29" s="108" t="s">
        <v>125</v>
      </c>
      <c r="B29" s="181">
        <f>B17*((1+Parâmetros!C11)*(1+Parâmetros!D11))</f>
        <v>0</v>
      </c>
      <c r="C29" s="179">
        <f>C17*(1+Parâmetros!D11)</f>
        <v>0</v>
      </c>
      <c r="D29" s="180" t="str">
        <f t="shared" si="5"/>
        <v>-</v>
      </c>
      <c r="E29" s="179">
        <f>E17</f>
        <v>0</v>
      </c>
      <c r="F29" s="180" t="str">
        <f t="shared" si="9"/>
        <v>-</v>
      </c>
      <c r="G29" s="184">
        <f>Metas!C18</f>
        <v>-237463.56987169816</v>
      </c>
      <c r="H29" s="180" t="str">
        <f t="shared" si="6"/>
        <v>-</v>
      </c>
      <c r="I29" s="184">
        <f>Metas!F18</f>
        <v>-611125.2903441729</v>
      </c>
      <c r="J29" s="180">
        <f t="shared" si="7"/>
        <v>1.5735538747032423</v>
      </c>
      <c r="K29" s="184">
        <f>Metas!I18</f>
        <v>-1057828.0291666933</v>
      </c>
      <c r="L29" s="180">
        <f t="shared" si="8"/>
        <v>0.7309511582656756</v>
      </c>
    </row>
    <row r="30" spans="1:12" ht="12.75">
      <c r="A30" s="183" t="s">
        <v>119</v>
      </c>
      <c r="B30" s="181">
        <f>B18*((1+Parâmetros!C11)*(1+Parâmetros!D11))</f>
        <v>0</v>
      </c>
      <c r="C30" s="179">
        <f>C18*(1+Parâmetros!D11)</f>
        <v>0</v>
      </c>
      <c r="D30" s="180" t="str">
        <f t="shared" si="5"/>
        <v>-</v>
      </c>
      <c r="E30" s="179">
        <f>E18</f>
        <v>0</v>
      </c>
      <c r="F30" s="180" t="str">
        <f t="shared" si="9"/>
        <v>-</v>
      </c>
      <c r="G30" s="185">
        <f>Metas!C19</f>
        <v>-1564704.0258465412</v>
      </c>
      <c r="H30" s="180" t="str">
        <f t="shared" si="6"/>
        <v>-</v>
      </c>
      <c r="I30" s="181">
        <f>IF(Metas!F19=0,"0",(Metas!F19))</f>
        <v>-1837977.0953856504</v>
      </c>
      <c r="J30" s="180">
        <f t="shared" si="7"/>
        <v>0.1746484095554508</v>
      </c>
      <c r="K30" s="181">
        <f>IF(Metas!I19=0,"0",(Metas!I19))</f>
        <v>-2227429.4081113776</v>
      </c>
      <c r="L30" s="180">
        <f t="shared" si="8"/>
        <v>0.21189182047125077</v>
      </c>
    </row>
    <row r="31" spans="1:12" ht="12.75">
      <c r="A31" s="508" t="s">
        <v>390</v>
      </c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</row>
  </sheetData>
  <sheetProtection/>
  <mergeCells count="35">
    <mergeCell ref="A7:B7"/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printOptions/>
  <pageMargins left="0.787401575" right="0.787401575" top="0.984251969" bottom="0.984251969" header="0.492125985" footer="0.49212598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Windows 7 Pro</cp:lastModifiedBy>
  <cp:lastPrinted>2017-11-07T18:23:06Z</cp:lastPrinted>
  <dcterms:created xsi:type="dcterms:W3CDTF">2000-07-04T17:38:30Z</dcterms:created>
  <dcterms:modified xsi:type="dcterms:W3CDTF">2017-11-07T18:23:55Z</dcterms:modified>
  <cp:category/>
  <cp:version/>
  <cp:contentType/>
  <cp:contentStatus/>
</cp:coreProperties>
</file>